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tate Accreditation\KLEAP\State Accreditation - Mine\3 KLEAP Forms\Candiate Agency Forms\"/>
    </mc:Choice>
  </mc:AlternateContent>
  <xr:revisionPtr revIDLastSave="0" documentId="13_ncr:1_{7C0766C0-1B01-4D24-9BD6-443209C9930E}" xr6:coauthVersionLast="36" xr6:coauthVersionMax="47" xr10:uidLastSave="{00000000-0000-0000-0000-000000000000}"/>
  <bookViews>
    <workbookView xWindow="0" yWindow="0" windowWidth="28800" windowHeight="11625" xr2:uid="{9A748E1D-3A8A-414D-B5C8-ABF8B57110CA}"/>
  </bookViews>
  <sheets>
    <sheet name="File Tracker" sheetId="1" r:id="rId1"/>
    <sheet name="DASHBOARD" sheetId="4" r:id="rId2"/>
    <sheet name="List" sheetId="2" state="hidden" r:id="rId3"/>
  </sheets>
  <definedNames>
    <definedName name="_xlnm._FilterDatabase" localSheetId="0" hidden="1">'File Tracker'!$A$2:$D$262</definedName>
    <definedName name="_Hlk101769951" localSheetId="0">'File Tracker'!#REF!</definedName>
    <definedName name="_Hlk103144911" localSheetId="0">'File Tracker'!#REF!</definedName>
    <definedName name="Colors">List!#REF!</definedName>
    <definedName name="Mandatory">List!$A$2:$A$9</definedName>
    <definedName name="otherthanmandatory">List!$B$2:$B$9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0" i="4" l="1"/>
  <c r="AW19" i="4"/>
  <c r="AW18" i="4"/>
  <c r="AW17" i="4"/>
  <c r="AO20" i="4"/>
  <c r="AO19" i="4"/>
  <c r="AO18" i="4"/>
  <c r="AO17" i="4"/>
  <c r="AG20" i="4"/>
  <c r="AG19" i="4"/>
  <c r="AG18" i="4"/>
  <c r="AG17" i="4"/>
  <c r="Y17" i="4"/>
  <c r="Y20" i="4"/>
  <c r="Y19" i="4"/>
  <c r="Y18" i="4"/>
  <c r="Q5" i="4"/>
  <c r="Q6" i="4"/>
  <c r="K6" i="4"/>
  <c r="K5" i="4"/>
  <c r="K4" i="4"/>
  <c r="K3" i="4"/>
  <c r="K2" i="4"/>
  <c r="I5" i="4"/>
  <c r="I4" i="4"/>
  <c r="B21" i="4"/>
  <c r="I3" i="4"/>
  <c r="I2" i="4"/>
  <c r="K31" i="4"/>
  <c r="J31" i="4"/>
  <c r="I31" i="4"/>
  <c r="H31" i="4"/>
  <c r="G31" i="4"/>
  <c r="F31" i="4"/>
  <c r="E31" i="4"/>
  <c r="D31" i="4"/>
  <c r="C31" i="4"/>
  <c r="K37" i="4"/>
  <c r="J37" i="4"/>
  <c r="I37" i="4"/>
  <c r="H37" i="4"/>
  <c r="G37" i="4"/>
  <c r="F37" i="4"/>
  <c r="E37" i="4"/>
  <c r="D37" i="4"/>
  <c r="C37" i="4"/>
  <c r="K49" i="4"/>
  <c r="J49" i="4"/>
  <c r="I49" i="4"/>
  <c r="H49" i="4"/>
  <c r="G49" i="4"/>
  <c r="F49" i="4"/>
  <c r="E49" i="4"/>
  <c r="D49" i="4"/>
  <c r="C49" i="4"/>
  <c r="K46" i="4"/>
  <c r="J46" i="4"/>
  <c r="I46" i="4"/>
  <c r="H46" i="4"/>
  <c r="G46" i="4"/>
  <c r="F46" i="4"/>
  <c r="E46" i="4"/>
  <c r="D46" i="4"/>
  <c r="C46" i="4"/>
  <c r="K43" i="4"/>
  <c r="J43" i="4"/>
  <c r="I43" i="4"/>
  <c r="H43" i="4"/>
  <c r="G43" i="4"/>
  <c r="F43" i="4"/>
  <c r="E43" i="4"/>
  <c r="D43" i="4"/>
  <c r="C43" i="4"/>
  <c r="K40" i="4"/>
  <c r="J40" i="4"/>
  <c r="I40" i="4"/>
  <c r="H40" i="4"/>
  <c r="G40" i="4"/>
  <c r="F40" i="4"/>
  <c r="E40" i="4"/>
  <c r="D40" i="4"/>
  <c r="C40" i="4"/>
  <c r="K34" i="4"/>
  <c r="J34" i="4"/>
  <c r="I34" i="4"/>
  <c r="H34" i="4"/>
  <c r="G34" i="4"/>
  <c r="F34" i="4"/>
  <c r="E34" i="4"/>
  <c r="D34" i="4"/>
  <c r="C34" i="4"/>
  <c r="K25" i="4"/>
  <c r="J25" i="4"/>
  <c r="I25" i="4"/>
  <c r="H25" i="4"/>
  <c r="G25" i="4"/>
  <c r="F25" i="4"/>
  <c r="E25" i="4"/>
  <c r="D25" i="4"/>
  <c r="C25" i="4"/>
  <c r="K28" i="4"/>
  <c r="J28" i="4"/>
  <c r="I28" i="4"/>
  <c r="H28" i="4"/>
  <c r="F28" i="4"/>
  <c r="G28" i="4"/>
  <c r="E28" i="4"/>
  <c r="D28" i="4"/>
  <c r="C28" i="4"/>
  <c r="I9" i="4" l="1"/>
  <c r="I10" i="4" s="1"/>
  <c r="J9" i="4"/>
  <c r="J10" i="4" s="1"/>
  <c r="K9" i="4"/>
  <c r="K10" i="4" s="1"/>
  <c r="A1" i="1"/>
  <c r="K22" i="4"/>
  <c r="J22" i="4"/>
  <c r="I22" i="4"/>
  <c r="H22" i="4"/>
  <c r="G22" i="4"/>
  <c r="F22" i="4"/>
  <c r="E22" i="4"/>
  <c r="D22" i="4"/>
  <c r="C22" i="4"/>
  <c r="B23" i="4"/>
  <c r="B92" i="4"/>
  <c r="K91" i="4"/>
  <c r="J91" i="4"/>
  <c r="I91" i="4"/>
  <c r="H91" i="4"/>
  <c r="G91" i="4"/>
  <c r="F91" i="4"/>
  <c r="E91" i="4"/>
  <c r="D91" i="4"/>
  <c r="D92" i="4" s="1"/>
  <c r="C91" i="4"/>
  <c r="B89" i="4"/>
  <c r="K88" i="4"/>
  <c r="J88" i="4"/>
  <c r="I88" i="4"/>
  <c r="H88" i="4"/>
  <c r="G88" i="4"/>
  <c r="F88" i="4"/>
  <c r="E88" i="4"/>
  <c r="D88" i="4"/>
  <c r="D89" i="4" s="1"/>
  <c r="C88" i="4"/>
  <c r="B86" i="4"/>
  <c r="K85" i="4"/>
  <c r="J85" i="4"/>
  <c r="I85" i="4"/>
  <c r="H85" i="4"/>
  <c r="G85" i="4"/>
  <c r="F85" i="4"/>
  <c r="E85" i="4"/>
  <c r="D85" i="4"/>
  <c r="D86" i="4" s="1"/>
  <c r="C85" i="4"/>
  <c r="B83" i="4"/>
  <c r="K82" i="4"/>
  <c r="J82" i="4"/>
  <c r="I82" i="4"/>
  <c r="H82" i="4"/>
  <c r="G82" i="4"/>
  <c r="F82" i="4"/>
  <c r="E82" i="4"/>
  <c r="D82" i="4"/>
  <c r="D83" i="4" s="1"/>
  <c r="C82" i="4"/>
  <c r="B80" i="4"/>
  <c r="K79" i="4"/>
  <c r="J79" i="4"/>
  <c r="I79" i="4"/>
  <c r="H79" i="4"/>
  <c r="G79" i="4"/>
  <c r="F79" i="4"/>
  <c r="E79" i="4"/>
  <c r="D79" i="4"/>
  <c r="D80" i="4" s="1"/>
  <c r="C79" i="4"/>
  <c r="B77" i="4"/>
  <c r="K76" i="4"/>
  <c r="J76" i="4"/>
  <c r="I76" i="4"/>
  <c r="H76" i="4"/>
  <c r="G76" i="4"/>
  <c r="F76" i="4"/>
  <c r="E76" i="4"/>
  <c r="D76" i="4"/>
  <c r="D77" i="4" s="1"/>
  <c r="C76" i="4"/>
  <c r="B74" i="4"/>
  <c r="K73" i="4"/>
  <c r="J73" i="4"/>
  <c r="I73" i="4"/>
  <c r="H73" i="4"/>
  <c r="G73" i="4"/>
  <c r="F73" i="4"/>
  <c r="E73" i="4"/>
  <c r="D73" i="4"/>
  <c r="D74" i="4" s="1"/>
  <c r="C73" i="4"/>
  <c r="B71" i="4"/>
  <c r="K70" i="4"/>
  <c r="J70" i="4"/>
  <c r="I70" i="4"/>
  <c r="H70" i="4"/>
  <c r="G70" i="4"/>
  <c r="F70" i="4"/>
  <c r="E70" i="4"/>
  <c r="D70" i="4"/>
  <c r="D71" i="4" s="1"/>
  <c r="C70" i="4"/>
  <c r="B68" i="4"/>
  <c r="K67" i="4"/>
  <c r="J67" i="4"/>
  <c r="I67" i="4"/>
  <c r="H67" i="4"/>
  <c r="G67" i="4"/>
  <c r="F67" i="4"/>
  <c r="E67" i="4"/>
  <c r="D67" i="4"/>
  <c r="D68" i="4" s="1"/>
  <c r="C67" i="4"/>
  <c r="B65" i="4"/>
  <c r="K64" i="4"/>
  <c r="J64" i="4"/>
  <c r="I64" i="4"/>
  <c r="H64" i="4"/>
  <c r="G64" i="4"/>
  <c r="F64" i="4"/>
  <c r="E64" i="4"/>
  <c r="D64" i="4"/>
  <c r="D65" i="4" s="1"/>
  <c r="C64" i="4"/>
  <c r="B62" i="4"/>
  <c r="K61" i="4"/>
  <c r="J61" i="4"/>
  <c r="I61" i="4"/>
  <c r="H61" i="4"/>
  <c r="G61" i="4"/>
  <c r="F61" i="4"/>
  <c r="E61" i="4"/>
  <c r="D61" i="4"/>
  <c r="C61" i="4"/>
  <c r="B59" i="4"/>
  <c r="K58" i="4"/>
  <c r="J58" i="4"/>
  <c r="I58" i="4"/>
  <c r="H58" i="4"/>
  <c r="G58" i="4"/>
  <c r="F58" i="4"/>
  <c r="E58" i="4"/>
  <c r="D58" i="4"/>
  <c r="D59" i="4" s="1"/>
  <c r="C58" i="4"/>
  <c r="B56" i="4"/>
  <c r="K55" i="4"/>
  <c r="J55" i="4"/>
  <c r="I55" i="4"/>
  <c r="H55" i="4"/>
  <c r="G55" i="4"/>
  <c r="F55" i="4"/>
  <c r="E55" i="4"/>
  <c r="D55" i="4"/>
  <c r="D56" i="4" s="1"/>
  <c r="C55" i="4"/>
  <c r="B53" i="4"/>
  <c r="K52" i="4"/>
  <c r="J52" i="4"/>
  <c r="I52" i="4"/>
  <c r="H52" i="4"/>
  <c r="G52" i="4"/>
  <c r="F52" i="4"/>
  <c r="E52" i="4"/>
  <c r="D52" i="4"/>
  <c r="C52" i="4"/>
  <c r="B50" i="4"/>
  <c r="J50" i="4" s="1"/>
  <c r="B47" i="4"/>
  <c r="B44" i="4"/>
  <c r="D44" i="4" s="1"/>
  <c r="B41" i="4"/>
  <c r="E41" i="4" s="1"/>
  <c r="B38" i="4"/>
  <c r="F38" i="4" s="1"/>
  <c r="B35" i="4"/>
  <c r="G35" i="4" s="1"/>
  <c r="B32" i="4"/>
  <c r="H32" i="4" s="1"/>
  <c r="B29" i="4"/>
  <c r="D29" i="4" s="1"/>
  <c r="B26" i="4"/>
  <c r="F59" i="4" l="1"/>
  <c r="F71" i="4"/>
  <c r="F83" i="4"/>
  <c r="D62" i="4"/>
  <c r="D53" i="4"/>
  <c r="H68" i="4"/>
  <c r="H80" i="4"/>
  <c r="H92" i="4"/>
  <c r="C68" i="4"/>
  <c r="C80" i="4"/>
  <c r="C92" i="4"/>
  <c r="F92" i="4"/>
  <c r="C23" i="4"/>
  <c r="J68" i="4"/>
  <c r="G56" i="4"/>
  <c r="G68" i="4"/>
  <c r="J56" i="4"/>
  <c r="J80" i="4"/>
  <c r="J92" i="4"/>
  <c r="K68" i="4"/>
  <c r="H83" i="4"/>
  <c r="E83" i="4"/>
  <c r="I56" i="4"/>
  <c r="I68" i="4"/>
  <c r="I80" i="4"/>
  <c r="G83" i="4"/>
  <c r="I59" i="4"/>
  <c r="I71" i="4"/>
  <c r="C83" i="4"/>
  <c r="I92" i="4"/>
  <c r="E68" i="4"/>
  <c r="E80" i="4"/>
  <c r="G80" i="4"/>
  <c r="G92" i="4"/>
  <c r="J65" i="4"/>
  <c r="J77" i="4"/>
  <c r="J89" i="4"/>
  <c r="C53" i="4"/>
  <c r="C65" i="4"/>
  <c r="C77" i="4"/>
  <c r="C89" i="4"/>
  <c r="E65" i="4"/>
  <c r="E77" i="4"/>
  <c r="F65" i="4"/>
  <c r="F77" i="4"/>
  <c r="F89" i="4"/>
  <c r="G89" i="4"/>
  <c r="E92" i="4"/>
  <c r="H65" i="4"/>
  <c r="F68" i="4"/>
  <c r="H77" i="4"/>
  <c r="F80" i="4"/>
  <c r="H89" i="4"/>
  <c r="I53" i="4"/>
  <c r="I65" i="4"/>
  <c r="I77" i="4"/>
  <c r="I89" i="4"/>
  <c r="K53" i="4"/>
  <c r="G59" i="4"/>
  <c r="E62" i="4"/>
  <c r="K65" i="4"/>
  <c r="G71" i="4"/>
  <c r="E74" i="4"/>
  <c r="K77" i="4"/>
  <c r="E86" i="4"/>
  <c r="K89" i="4"/>
  <c r="H59" i="4"/>
  <c r="F62" i="4"/>
  <c r="H71" i="4"/>
  <c r="F74" i="4"/>
  <c r="F86" i="4"/>
  <c r="G62" i="4"/>
  <c r="G74" i="4"/>
  <c r="K80" i="4"/>
  <c r="I83" i="4"/>
  <c r="G86" i="4"/>
  <c r="E89" i="4"/>
  <c r="K92" i="4"/>
  <c r="J59" i="4"/>
  <c r="H62" i="4"/>
  <c r="J71" i="4"/>
  <c r="H86" i="4"/>
  <c r="C59" i="4"/>
  <c r="C71" i="4"/>
  <c r="K71" i="4"/>
  <c r="I74" i="4"/>
  <c r="G77" i="4"/>
  <c r="I86" i="4"/>
  <c r="J86" i="4"/>
  <c r="E59" i="4"/>
  <c r="C62" i="4"/>
  <c r="K62" i="4"/>
  <c r="E71" i="4"/>
  <c r="C74" i="4"/>
  <c r="K74" i="4"/>
  <c r="C86" i="4"/>
  <c r="K86" i="4"/>
  <c r="G32" i="4"/>
  <c r="F32" i="4"/>
  <c r="D35" i="4"/>
  <c r="C35" i="4"/>
  <c r="H41" i="4"/>
  <c r="G41" i="4"/>
  <c r="J53" i="4"/>
  <c r="H56" i="4"/>
  <c r="I50" i="4"/>
  <c r="H50" i="4"/>
  <c r="E44" i="4"/>
  <c r="E32" i="4"/>
  <c r="D32" i="4"/>
  <c r="I38" i="4"/>
  <c r="H38" i="4"/>
  <c r="K47" i="4"/>
  <c r="C47" i="4"/>
  <c r="J47" i="4"/>
  <c r="I47" i="4"/>
  <c r="G50" i="4"/>
  <c r="F50" i="4"/>
  <c r="D47" i="4"/>
  <c r="J35" i="4"/>
  <c r="I35" i="4"/>
  <c r="K44" i="4"/>
  <c r="J44" i="4"/>
  <c r="H47" i="4"/>
  <c r="G47" i="4"/>
  <c r="G38" i="4"/>
  <c r="K32" i="4"/>
  <c r="J32" i="4"/>
  <c r="E53" i="4"/>
  <c r="C56" i="4"/>
  <c r="K56" i="4"/>
  <c r="C44" i="4"/>
  <c r="K41" i="4"/>
  <c r="I44" i="4"/>
  <c r="H44" i="4"/>
  <c r="H35" i="4"/>
  <c r="C32" i="4"/>
  <c r="K50" i="4"/>
  <c r="H74" i="4"/>
  <c r="J83" i="4"/>
  <c r="D41" i="4"/>
  <c r="C41" i="4"/>
  <c r="J41" i="4"/>
  <c r="I41" i="4"/>
  <c r="E50" i="4"/>
  <c r="D50" i="4"/>
  <c r="C50" i="4"/>
  <c r="F53" i="4"/>
  <c r="G53" i="4"/>
  <c r="E56" i="4"/>
  <c r="K59" i="4"/>
  <c r="I62" i="4"/>
  <c r="G65" i="4"/>
  <c r="K83" i="4"/>
  <c r="E38" i="4"/>
  <c r="D38" i="4"/>
  <c r="K38" i="4"/>
  <c r="J38" i="4"/>
  <c r="F47" i="4"/>
  <c r="E47" i="4"/>
  <c r="F41" i="4"/>
  <c r="H53" i="4"/>
  <c r="F56" i="4"/>
  <c r="J62" i="4"/>
  <c r="J74" i="4"/>
  <c r="F35" i="4"/>
  <c r="E35" i="4"/>
  <c r="C38" i="4"/>
  <c r="K35" i="4"/>
  <c r="G44" i="4"/>
  <c r="F44" i="4"/>
  <c r="I32" i="4"/>
  <c r="J29" i="4"/>
  <c r="I29" i="4"/>
  <c r="H29" i="4"/>
  <c r="F29" i="4"/>
  <c r="C29" i="4"/>
  <c r="G29" i="4"/>
  <c r="E29" i="4"/>
  <c r="K29" i="4"/>
  <c r="G15" i="4"/>
  <c r="E15" i="4"/>
  <c r="C15" i="4"/>
  <c r="F23" i="4"/>
  <c r="J23" i="4"/>
  <c r="K23" i="4"/>
  <c r="L25" i="4"/>
  <c r="G23" i="4"/>
  <c r="H23" i="4"/>
  <c r="I23" i="4"/>
  <c r="D23" i="4"/>
  <c r="E23" i="4"/>
  <c r="L22" i="4"/>
  <c r="L34" i="4"/>
  <c r="L40" i="4"/>
  <c r="L46" i="4"/>
  <c r="L52" i="4"/>
  <c r="L58" i="4"/>
  <c r="L64" i="4"/>
  <c r="L70" i="4"/>
  <c r="L76" i="4"/>
  <c r="L82" i="4"/>
  <c r="L88" i="4"/>
  <c r="L31" i="4"/>
  <c r="L37" i="4"/>
  <c r="L43" i="4"/>
  <c r="L49" i="4"/>
  <c r="L55" i="4"/>
  <c r="L61" i="4"/>
  <c r="L67" i="4"/>
  <c r="L73" i="4"/>
  <c r="L79" i="4"/>
  <c r="L85" i="4"/>
  <c r="L91" i="4"/>
  <c r="L28" i="4"/>
  <c r="J26" i="4"/>
  <c r="K26" i="4"/>
  <c r="C26" i="4"/>
  <c r="I26" i="4"/>
  <c r="D26" i="4"/>
  <c r="E26" i="4"/>
  <c r="F26" i="4"/>
  <c r="G26" i="4"/>
  <c r="H26" i="4"/>
  <c r="C16" i="4" l="1"/>
  <c r="G16" i="4"/>
  <c r="I15" i="4"/>
  <c r="E16" i="4"/>
  <c r="L29" i="4"/>
  <c r="L89" i="4"/>
  <c r="L65" i="4"/>
  <c r="L23" i="4"/>
  <c r="L71" i="4"/>
  <c r="L50" i="4"/>
  <c r="L41" i="4"/>
  <c r="L83" i="4"/>
  <c r="L92" i="4"/>
  <c r="L56" i="4"/>
  <c r="L53" i="4"/>
  <c r="L68" i="4"/>
  <c r="L74" i="4"/>
  <c r="L38" i="4"/>
  <c r="L77" i="4"/>
  <c r="L35" i="4"/>
  <c r="L86" i="4"/>
  <c r="L59" i="4"/>
  <c r="L62" i="4"/>
  <c r="L80" i="4"/>
  <c r="L47" i="4"/>
  <c r="L44" i="4"/>
  <c r="L32" i="4"/>
  <c r="L26" i="4"/>
  <c r="Y16" i="4" l="1"/>
  <c r="Z20" i="4" s="1"/>
  <c r="AO16" i="4"/>
  <c r="AP20" i="4" s="1"/>
  <c r="Q4" i="4"/>
  <c r="R5" i="4" s="1"/>
  <c r="AW16" i="4"/>
  <c r="AX20" i="4" s="1"/>
  <c r="AG16" i="4"/>
  <c r="AH20" i="4" s="1"/>
  <c r="I16" i="4"/>
</calcChain>
</file>

<file path=xl/sharedStrings.xml><?xml version="1.0" encoding="utf-8"?>
<sst xmlns="http://schemas.openxmlformats.org/spreadsheetml/2006/main" count="1612" uniqueCount="340">
  <si>
    <t>1.1.1 Oath of Office: [M]</t>
  </si>
  <si>
    <t>1.1.2 Code of Ethics: [M]</t>
  </si>
  <si>
    <t>1.1.3 Consular Notification: [M]</t>
  </si>
  <si>
    <t>1.2.1 Legal Authority Defined: [M]</t>
  </si>
  <si>
    <t>1.2.2 Constitutional Compliance: [M]</t>
  </si>
  <si>
    <t>1.2.3 Search and Seizure: [M]</t>
  </si>
  <si>
    <t>1.2.4 Arrests: [M]</t>
  </si>
  <si>
    <r>
      <t xml:space="preserve">1.2.5 Strip and Body Cavity Searches: [M] </t>
    </r>
    <r>
      <rPr>
        <b/>
        <sz val="12"/>
        <color rgb="FFC00000"/>
        <rFont val="Times New Roman"/>
        <family val="1"/>
      </rPr>
      <t>[Time Sensitive]</t>
    </r>
  </si>
  <si>
    <t>1.2.7 Duty to Intervene: [M]</t>
  </si>
  <si>
    <t>2.2.2 CLEO Authority and Responsibility: [M]</t>
  </si>
  <si>
    <t>2.3.1 CLEO Notification: [M]</t>
  </si>
  <si>
    <t>2.4.1 Command Protocol: [M]</t>
  </si>
  <si>
    <t>2.4.2 Duty to Obey Lawful Orders: [M]</t>
  </si>
  <si>
    <t>2.5.1 Written Directive System: [M]</t>
  </si>
  <si>
    <t>2.5.2 Written Directive Dissemination and Storage: [M]</t>
  </si>
  <si>
    <r>
      <t xml:space="preserve">2.6.1 Goals and Objectives: [M] </t>
    </r>
    <r>
      <rPr>
        <b/>
        <sz val="12"/>
        <color rgb="FFC00000"/>
        <rFont val="Times New Roman"/>
        <family val="1"/>
      </rPr>
      <t>[Time Sensitive]</t>
    </r>
  </si>
  <si>
    <r>
      <t xml:space="preserve">2.7.1 Cash Account Maintenance: [M] </t>
    </r>
    <r>
      <rPr>
        <b/>
        <sz val="12"/>
        <color rgb="FFC00000"/>
        <rFont val="Times New Roman"/>
        <family val="1"/>
      </rPr>
      <t>[Time Sensitive]</t>
    </r>
  </si>
  <si>
    <t>2.8.1 Mutual Aid Agreements: [M]</t>
  </si>
  <si>
    <t>2.8.2 Contractual Service Agreements: [M]</t>
  </si>
  <si>
    <t>2.9.1 Community Partnership Activities: [O]</t>
  </si>
  <si>
    <t>2.10.1 Line and Staff Inspections: [O]</t>
  </si>
  <si>
    <t>3.1.1 Job Descriptions: [M]</t>
  </si>
  <si>
    <t>3.2.1 Clothing and Equipment: [M]</t>
  </si>
  <si>
    <t>3.2.2 Employee Issued Identification: [M]</t>
  </si>
  <si>
    <t>3.3.2 Social Media: [M]</t>
  </si>
  <si>
    <t>3.4.1 Grievance Procedures: [M]</t>
  </si>
  <si>
    <r>
      <t xml:space="preserve">3.5.1 Performance Evaluation System: [M] </t>
    </r>
    <r>
      <rPr>
        <b/>
        <sz val="12"/>
        <color rgb="FFC00000"/>
        <rFont val="Times New Roman"/>
        <family val="1"/>
      </rPr>
      <t>[Time Sensitive]</t>
    </r>
  </si>
  <si>
    <t>4.1.1 Background Investigations: [M]</t>
  </si>
  <si>
    <t>4.1.2 Medical Examinations: [M]</t>
  </si>
  <si>
    <t>4.1.3 Psychological Examinations: [M]</t>
  </si>
  <si>
    <t>5.1.1 Code of Conduct and Appearance: [M]</t>
  </si>
  <si>
    <t>5.1.2 Sexual/Unlawful Harassment: [M]</t>
  </si>
  <si>
    <t>5.1.3 Disciplinary System: [M]</t>
  </si>
  <si>
    <t>5.1.4 Supervisor Responsibilities Regarding Discipline: [M]</t>
  </si>
  <si>
    <t>5.2.1 Compliant Investigations: [M]</t>
  </si>
  <si>
    <t>5.2.2 Records of Complaints: [M]</t>
  </si>
  <si>
    <t>5.3.1 Complaint Notifications: [M]</t>
  </si>
  <si>
    <t>5.3.2 Notification of Alleged Misconduct: [M]</t>
  </si>
  <si>
    <t>6.1.1 Use of Force: [M]</t>
  </si>
  <si>
    <t>6.1.2 Use of Deadly Force: [M]</t>
  </si>
  <si>
    <t>6.1.3 Warning Shots: [M]</t>
  </si>
  <si>
    <t>6.1.4 Rendering Medical Aid: [M]</t>
  </si>
  <si>
    <r>
      <t>6.2.1 Use of Force Reporting: [M]</t>
    </r>
    <r>
      <rPr>
        <b/>
        <sz val="12"/>
        <color rgb="FFC00000"/>
        <rFont val="Times New Roman"/>
        <family val="1"/>
      </rPr>
      <t xml:space="preserve"> [Time Sensitive]</t>
    </r>
  </si>
  <si>
    <r>
      <t>6.2.2 Administrative Review of Use of Force Reporting: [M]</t>
    </r>
    <r>
      <rPr>
        <b/>
        <sz val="12"/>
        <color rgb="FFC00000"/>
        <rFont val="Times New Roman"/>
        <family val="1"/>
      </rPr>
      <t xml:space="preserve"> [Time Sensitive]</t>
    </r>
  </si>
  <si>
    <r>
      <t>6.2.3 Annual Analysis of Use of Force Reporting: [M]</t>
    </r>
    <r>
      <rPr>
        <b/>
        <sz val="12"/>
        <color rgb="FFC00000"/>
        <rFont val="Times New Roman"/>
        <family val="1"/>
      </rPr>
      <t xml:space="preserve"> [Time Sensitive]</t>
    </r>
  </si>
  <si>
    <t>6.2.4 Use of Force Reassignment: [M]</t>
  </si>
  <si>
    <t>6.3.1 Less Lethal Weapons Authorized: [M]</t>
  </si>
  <si>
    <t>6.3.2 Authorized Weapons and Ammunition: [M]</t>
  </si>
  <si>
    <r>
      <t>6.3.3 Weapons Proficiency and Training Requirements: [M]</t>
    </r>
    <r>
      <rPr>
        <b/>
        <sz val="12"/>
        <color rgb="FFC00000"/>
        <rFont val="Times New Roman"/>
        <family val="1"/>
      </rPr>
      <t xml:space="preserve"> [Time Sensitive]</t>
    </r>
  </si>
  <si>
    <t>7.1.1 Training Records Maintenance: [M]</t>
  </si>
  <si>
    <t>7.2.1 Initial Law Enforcement Training: [M]</t>
  </si>
  <si>
    <r>
      <t>7.2.2 Annual Retraining: [M]</t>
    </r>
    <r>
      <rPr>
        <b/>
        <sz val="12"/>
        <color rgb="FFC00000"/>
        <rFont val="Times New Roman"/>
        <family val="1"/>
      </rPr>
      <t xml:space="preserve"> [Time Sensitive]</t>
    </r>
  </si>
  <si>
    <t>7.3.1 Training Upon Promotion: [M]</t>
  </si>
  <si>
    <t>8.1.1 Continuous Patrol Coverage: [M]</t>
  </si>
  <si>
    <t>8.1.2 Agency Animals: [M]</t>
  </si>
  <si>
    <t>8.2.1 Responding Procedures: [M]</t>
  </si>
  <si>
    <r>
      <t>8.2.2 Motor Vehicle Pursuits: [M]</t>
    </r>
    <r>
      <rPr>
        <b/>
        <sz val="12"/>
        <color rgb="FFC00000"/>
        <rFont val="Times New Roman"/>
        <family val="1"/>
      </rPr>
      <t xml:space="preserve"> [Time Sensitive]</t>
    </r>
  </si>
  <si>
    <t>8.2.3 Missing Adults and/or Juveniles: [M]</t>
  </si>
  <si>
    <t>8.2.4 Interactions with Mentally Ill Persons: [M]</t>
  </si>
  <si>
    <r>
      <t>8.3.1 Emergency Lights and Sirens: [M]</t>
    </r>
    <r>
      <rPr>
        <b/>
        <sz val="12"/>
        <color rgb="FFC00000"/>
        <rFont val="Times New Roman"/>
        <family val="1"/>
      </rPr>
      <t xml:space="preserve"> </t>
    </r>
    <r>
      <rPr>
        <b/>
        <sz val="12"/>
        <color rgb="FF7030A0"/>
        <rFont val="Times New Roman"/>
        <family val="1"/>
      </rPr>
      <t>[Observable]</t>
    </r>
  </si>
  <si>
    <t>8.3.2 Vehicle Equipment: [M]</t>
  </si>
  <si>
    <t>8.3.3 Safety Restraining Devices: [M]</t>
  </si>
  <si>
    <t>8.3.4 Body Armor: [M]</t>
  </si>
  <si>
    <t>8.3.5 Mobile Data Device Use: [M]</t>
  </si>
  <si>
    <t>8.3.6 Audio/Video Recording Devices: [M]</t>
  </si>
  <si>
    <t>9.1.1 Case Management System: [M]</t>
  </si>
  <si>
    <t>9.1.2 Preliminary/Follow-Up Investigations Accountability: [M]</t>
  </si>
  <si>
    <t>9.2.1 Informants: [M]</t>
  </si>
  <si>
    <t>9.2.2 Eyewitness Identifications: [M]</t>
  </si>
  <si>
    <t>10.1.1 Handling Juvenile Offenders: [M]</t>
  </si>
  <si>
    <t>10.1.2 Custody Procedures for Juveniles: [M]</t>
  </si>
  <si>
    <t>10.1.3 Interrogations and Interviews: [M]</t>
  </si>
  <si>
    <t>11.1.1 Critical Incident Plan: [M]</t>
  </si>
  <si>
    <t>11.1.2 Active Threat Response Plan: [M]</t>
  </si>
  <si>
    <t>11.2.1 Hazardous Materials: [M]</t>
  </si>
  <si>
    <r>
      <t>11.3.1 Critical Incident and Active Threat Training: [M]</t>
    </r>
    <r>
      <rPr>
        <b/>
        <sz val="12"/>
        <color rgb="FFC00000"/>
        <rFont val="Times New Roman"/>
        <family val="1"/>
      </rPr>
      <t xml:space="preserve"> [Time Sensitive]</t>
    </r>
  </si>
  <si>
    <t>12.1.1 Uniform Enforcement Action: [M]</t>
  </si>
  <si>
    <t>12.1.2 Information Provided to Violator: [M]</t>
  </si>
  <si>
    <t>12.1.3 Uniformed Enforcement: [M]</t>
  </si>
  <si>
    <t>12.1.4 Alcohol/Drug Impaired Offenders: [M]</t>
  </si>
  <si>
    <t>12.2.1 Collision/Crash Scene Duties: [M]</t>
  </si>
  <si>
    <t>12.3.1 Traffic Direction/Control: [M]</t>
  </si>
  <si>
    <t>12.4.1 Towing and Impoundment: [M]</t>
  </si>
  <si>
    <t>13.1.1 Detainee Transportation Procedures: [M]</t>
  </si>
  <si>
    <t>13.1.2 Detainee Escape: [M]</t>
  </si>
  <si>
    <t>14.1.1 Designated Rooms or Areas: [M]</t>
  </si>
  <si>
    <t>14.1.2 Detention Procedures: [M]</t>
  </si>
  <si>
    <r>
      <t xml:space="preserve">14.2.1 Personnel Training: [M] </t>
    </r>
    <r>
      <rPr>
        <b/>
        <sz val="12"/>
        <color rgb="FFC00000"/>
        <rFont val="Times New Roman"/>
        <family val="1"/>
      </rPr>
      <t>[Time Sensitive]</t>
    </r>
  </si>
  <si>
    <t>14.3.1 Sanitation and Security Inspections: [M]</t>
  </si>
  <si>
    <t>15.1.1 Facility Management: [M]</t>
  </si>
  <si>
    <t>15.1.2 Facility Security: [M]</t>
  </si>
  <si>
    <t>15.1.3 Facility Organization: [M]</t>
  </si>
  <si>
    <t>15.2.1 Minimum Condition Requirements: [M]</t>
  </si>
  <si>
    <t>15.2.2 Exceeding Maximum Capacity: [M]</t>
  </si>
  <si>
    <r>
      <t xml:space="preserve">15.3.1 System Inspections: [M] </t>
    </r>
    <r>
      <rPr>
        <b/>
        <sz val="12"/>
        <color rgb="FFC00000"/>
        <rFont val="Times New Roman"/>
        <family val="1"/>
      </rPr>
      <t>[Time Sensitive]</t>
    </r>
  </si>
  <si>
    <r>
      <t xml:space="preserve">15.3.2 Weekly Inspections: [M] </t>
    </r>
    <r>
      <rPr>
        <b/>
        <sz val="12"/>
        <color rgb="FFC00000"/>
        <rFont val="Times New Roman"/>
        <family val="1"/>
      </rPr>
      <t>[Time Sensitive]</t>
    </r>
  </si>
  <si>
    <r>
      <t xml:space="preserve">15.4.1 Emergency Situations: [M] </t>
    </r>
    <r>
      <rPr>
        <b/>
        <sz val="12"/>
        <color rgb="FF7030A0"/>
        <rFont val="Times New Roman"/>
        <family val="1"/>
      </rPr>
      <t>[Observable]</t>
    </r>
  </si>
  <si>
    <r>
      <t xml:space="preserve">15.4.2 Evacuation Plan Posted: [M] </t>
    </r>
    <r>
      <rPr>
        <b/>
        <sz val="12"/>
        <color rgb="FF7030A0"/>
        <rFont val="Times New Roman"/>
        <family val="1"/>
      </rPr>
      <t>[Observable]</t>
    </r>
  </si>
  <si>
    <t>15.5.1 Detainee Searches: [M]</t>
  </si>
  <si>
    <t>15.5.2 Intake Forms: [M]</t>
  </si>
  <si>
    <t>15.5.3 Detainee Records: [M]</t>
  </si>
  <si>
    <t>15.6.1 Screening Information: [M]</t>
  </si>
  <si>
    <t>15.6.2 Medical Assistance: [M]</t>
  </si>
  <si>
    <t>15.6.3 Medication Dispensing: [M]</t>
  </si>
  <si>
    <t>15.7.1 Detainee Rights: [M]</t>
  </si>
  <si>
    <t>15.7.2 Receiving Mail/Packages: [M]</t>
  </si>
  <si>
    <t>15.7.3 Visitation: [M]</t>
  </si>
  <si>
    <t>15.8.1 Continuous Supervision: [M]</t>
  </si>
  <si>
    <t>15.8.2 Supervision of Opposite Sex Detainees: [M]</t>
  </si>
  <si>
    <r>
      <t xml:space="preserve">15.9.1 Training Personnel: [M] </t>
    </r>
    <r>
      <rPr>
        <b/>
        <sz val="12"/>
        <color rgb="FFC00000"/>
        <rFont val="Times New Roman"/>
        <family val="1"/>
      </rPr>
      <t>[Time Sensitive]</t>
    </r>
  </si>
  <si>
    <t>16.1.1 Public Information: [O]</t>
  </si>
  <si>
    <t>16.1.2 News Media Access: [M]</t>
  </si>
  <si>
    <t>17.1.1 Victim/Witness Assistance: [O]</t>
  </si>
  <si>
    <t>17.1.3 Death/Injury Notifications: [M]</t>
  </si>
  <si>
    <t>18.1.1 Authority/Responsibility for Communications: [M]</t>
  </si>
  <si>
    <r>
      <t xml:space="preserve">18.1.2 Communications Function: [M] </t>
    </r>
    <r>
      <rPr>
        <b/>
        <sz val="12"/>
        <color rgb="FF7030A0"/>
        <rFont val="Times New Roman"/>
        <family val="1"/>
      </rPr>
      <t>[Observable]</t>
    </r>
    <r>
      <rPr>
        <sz val="12"/>
        <color theme="1"/>
        <rFont val="Times New Roman"/>
        <family val="1"/>
      </rPr>
      <t xml:space="preserve"> </t>
    </r>
  </si>
  <si>
    <t>18.1.3 Communications Capabilities: [M]</t>
  </si>
  <si>
    <t>18.1.4 Radio Communications: [M]</t>
  </si>
  <si>
    <t>18.1.5 Access to Information Systems: [M]</t>
  </si>
  <si>
    <r>
      <t xml:space="preserve">18.2.1 Facility Security: [M] </t>
    </r>
    <r>
      <rPr>
        <b/>
        <sz val="12"/>
        <color rgb="FF7030A0"/>
        <rFont val="Times New Roman"/>
        <family val="1"/>
      </rPr>
      <t>[Observable]</t>
    </r>
  </si>
  <si>
    <r>
      <t xml:space="preserve">18.2.2 Alternate Power Source: [M] </t>
    </r>
    <r>
      <rPr>
        <b/>
        <sz val="12"/>
        <color rgb="FFC00000"/>
        <rFont val="Times New Roman"/>
        <family val="1"/>
      </rPr>
      <t>[Time Sensitive]</t>
    </r>
  </si>
  <si>
    <t>19.1.1 Legal Process Document Records: [M]</t>
  </si>
  <si>
    <t>19.1.2 Legal Process Service Recording: [M]</t>
  </si>
  <si>
    <t>19.1.3 Warrant/Wanted Person Files: [M]</t>
  </si>
  <si>
    <t>19.2.1 Civil Process Service: [M]</t>
  </si>
  <si>
    <t>19.3.1 Criminal Process Service: [M]</t>
  </si>
  <si>
    <t>20.1.1 Privacy and Security: [M]</t>
  </si>
  <si>
    <t>20.1.2 Record Retention Schedule: [O]</t>
  </si>
  <si>
    <t>20.1.3 Uniform Crime Reporting: [M]</t>
  </si>
  <si>
    <t>20.1.4 Report Accounting: [M]</t>
  </si>
  <si>
    <r>
      <t xml:space="preserve">20.1.5 Information Technology Security: [M] </t>
    </r>
    <r>
      <rPr>
        <b/>
        <sz val="12"/>
        <color rgb="FFC00000"/>
        <rFont val="Times New Roman"/>
        <family val="1"/>
      </rPr>
      <t>[Time Sensitive]</t>
    </r>
  </si>
  <si>
    <t>20.2.1 Field Reporting System: [M]</t>
  </si>
  <si>
    <t>20.2.2 Incident Reporting System: [M]</t>
  </si>
  <si>
    <t>20.2.3 Report Distribution: [O]</t>
  </si>
  <si>
    <t>20.2.4 Alternative Reporting: [M]</t>
  </si>
  <si>
    <t>20.2.5 Traffic Citations: [M]</t>
  </si>
  <si>
    <t>21.1.1 24-Hour Investigative Availability: [M]</t>
  </si>
  <si>
    <t>21.1.2 Evidentiary Items: [M]</t>
  </si>
  <si>
    <t>21.1.3 Forensic Lab Submission: [M]</t>
  </si>
  <si>
    <t>22.1.1 Evidence Property Management: [M]</t>
  </si>
  <si>
    <r>
      <t xml:space="preserve">22.1.2 Temporary Holding: [M] </t>
    </r>
    <r>
      <rPr>
        <b/>
        <sz val="12"/>
        <color rgb="FF7030A0"/>
        <rFont val="Times New Roman"/>
        <family val="1"/>
      </rPr>
      <t>[Observable]</t>
    </r>
  </si>
  <si>
    <t>22.1.3 Controlled for Training Purposes: [M]</t>
  </si>
  <si>
    <t>22.1.4 Records Tracking Property: [M]</t>
  </si>
  <si>
    <r>
      <t xml:space="preserve">22.1.5 Evidence Quality Control Inspections: [M] </t>
    </r>
    <r>
      <rPr>
        <b/>
        <sz val="12"/>
        <color rgb="FFC00000"/>
        <rFont val="Times New Roman"/>
        <family val="1"/>
      </rPr>
      <t>[Time Sensitive]</t>
    </r>
  </si>
  <si>
    <t>22.1.6 Timely Disposition of Property: [O]</t>
  </si>
  <si>
    <t>22.1.7 Property Acquired through Civil Process: [M]</t>
  </si>
  <si>
    <r>
      <t xml:space="preserve">23.1.1 Risk Assessment/Analysis: [M] </t>
    </r>
    <r>
      <rPr>
        <b/>
        <sz val="12"/>
        <color rgb="FFC00000"/>
        <rFont val="Times New Roman"/>
        <family val="1"/>
      </rPr>
      <t>[Time Sensitive]</t>
    </r>
  </si>
  <si>
    <t>23.1.2 Conducting Background Investigations: [M]</t>
  </si>
  <si>
    <t>23.1.3 Security Escort Service: [M]</t>
  </si>
  <si>
    <t>23.1.4 Emergency Notification System: [M]</t>
  </si>
  <si>
    <t>23.1.5 Behavioral Threat Assessment: [M]</t>
  </si>
  <si>
    <r>
      <t xml:space="preserve">23.1.6 Video Surveillance: [M] </t>
    </r>
    <r>
      <rPr>
        <b/>
        <sz val="12"/>
        <color rgb="FFC00000"/>
        <rFont val="Times New Roman"/>
        <family val="1"/>
      </rPr>
      <t>[Time Sensitive]</t>
    </r>
  </si>
  <si>
    <t>23.1.7 Emergency Phones: [M]</t>
  </si>
  <si>
    <t>23.1.8 Administrative Investigations: [M]</t>
  </si>
  <si>
    <t>23.2.1 Medical Centers: [M]</t>
  </si>
  <si>
    <t>23.2.2 Medical Centers First Response Responsibilities: [M]</t>
  </si>
  <si>
    <t>23.3.1 Research-Intensive Facility: [M]</t>
  </si>
  <si>
    <t>Chapter 1 - Agency Role and Authority</t>
  </si>
  <si>
    <t>Section 1.1 - Agency Role</t>
  </si>
  <si>
    <t>Section 1.2 - Limits of Authority</t>
  </si>
  <si>
    <t>Chapter 2 - Management</t>
  </si>
  <si>
    <t>Section 2.1 - Organization and Administration</t>
  </si>
  <si>
    <t>Section 2.2 - Authority and Responsibility</t>
  </si>
  <si>
    <t>Section 2.3 - General Management</t>
  </si>
  <si>
    <t>Section 2.4 - Direction</t>
  </si>
  <si>
    <t>Section 2.5 - Written Directives</t>
  </si>
  <si>
    <t>Section 2.6 - Goals and Objectives</t>
  </si>
  <si>
    <t>Section 2.7 - Accounting</t>
  </si>
  <si>
    <t>Section 2.8 - Contracts</t>
  </si>
  <si>
    <t>Section 2.9 - Community Involvement</t>
  </si>
  <si>
    <t>Section 2.10 - Inspections</t>
  </si>
  <si>
    <t>Chapter 3 - Conditions and Benefits</t>
  </si>
  <si>
    <t>Section 3.1 - Classification</t>
  </si>
  <si>
    <t>Section 3.2 - Benefits</t>
  </si>
  <si>
    <t>Section 3.3 - Conditions of Work</t>
  </si>
  <si>
    <t>Section 3.4 - Grievance Procedures</t>
  </si>
  <si>
    <t>Section 3.5 - Performance Evaluations</t>
  </si>
  <si>
    <t>Chapter 4 - Recruitment and Selection</t>
  </si>
  <si>
    <t>Section 4.1 - Recruitment</t>
  </si>
  <si>
    <t>Chapter 5 - Professional Standards</t>
  </si>
  <si>
    <t>Section 5.1 - Disciplinary Procedure</t>
  </si>
  <si>
    <t>Section 5.2 - Organizational Integrity</t>
  </si>
  <si>
    <t>Section 5.3 - Complaint Procedures</t>
  </si>
  <si>
    <t>Chapter 6 - Use of Force</t>
  </si>
  <si>
    <t>Section 6.1 - Use of Force</t>
  </si>
  <si>
    <t>Section 6.2 - Reporting and Review</t>
  </si>
  <si>
    <t>Section 6.3 - Weapons</t>
  </si>
  <si>
    <t>Chapter 7 - Training</t>
  </si>
  <si>
    <t>Section 7.1 - Administration</t>
  </si>
  <si>
    <t>Section 7.2 - Officer Training</t>
  </si>
  <si>
    <t>Chapter 8 - Patrol</t>
  </si>
  <si>
    <t>Section 8.1 - Administration</t>
  </si>
  <si>
    <t>Section 8.2 - Operations</t>
  </si>
  <si>
    <t>Section 8.3 - Equipment</t>
  </si>
  <si>
    <t>Chapter 9 - Criminal Investigations</t>
  </si>
  <si>
    <t>Section 9.1 - Administration</t>
  </si>
  <si>
    <t>Section 9.2 - Operations</t>
  </si>
  <si>
    <t>Chapter 10 - Juvenile Operations</t>
  </si>
  <si>
    <t>Chapter 11 - Special Operations</t>
  </si>
  <si>
    <t>Chapter 12 - Traffic</t>
  </si>
  <si>
    <t>Section 12.1 - Enforcement</t>
  </si>
  <si>
    <t>Chapter 13 - Detainee Transportation</t>
  </si>
  <si>
    <t>Chapter 14 - Temporary Detention</t>
  </si>
  <si>
    <t>Section 14.1 - Procedures</t>
  </si>
  <si>
    <t>Section 14.2 - Training</t>
  </si>
  <si>
    <t>Chapter 15 - Lock-Up Facility</t>
  </si>
  <si>
    <t>Chapter 16 - Public Information</t>
  </si>
  <si>
    <t>Chapter 17 - Victim/Witness Assistance</t>
  </si>
  <si>
    <t>Chapter 18 - Communications</t>
  </si>
  <si>
    <t>Chapter 19 - Legal Process</t>
  </si>
  <si>
    <t>Chapter 20 - Central Records</t>
  </si>
  <si>
    <t>Chapter 21 - Evidence Collection</t>
  </si>
  <si>
    <t>Chapter 22 - Property and Evidence Control</t>
  </si>
  <si>
    <t>Chapter 23 - Campus Law Enforcement</t>
  </si>
  <si>
    <t>Sectopm 7.3. - Other Training</t>
  </si>
  <si>
    <t>Section 10.1 - Operations</t>
  </si>
  <si>
    <t>Section 11.2 - Hazardous Operations</t>
  </si>
  <si>
    <t>Section 11.1 - Critical Incidents</t>
  </si>
  <si>
    <t>Section 12.2 - Collisions</t>
  </si>
  <si>
    <t>Section 12.3 - Direction and Control</t>
  </si>
  <si>
    <t>Section 12.4 - Other Services</t>
  </si>
  <si>
    <t>Section 13.1 - Procedures</t>
  </si>
  <si>
    <t>Section 14.3. - Inspections</t>
  </si>
  <si>
    <t>Section 15.1 - Organization, Security and Management</t>
  </si>
  <si>
    <t>Section 15.4 - Emergency Situations</t>
  </si>
  <si>
    <t>Section 15.5 - Processing</t>
  </si>
  <si>
    <t>Section 15.6 - Medical and Health Care</t>
  </si>
  <si>
    <t>Section 15.7 - Detainee Rights</t>
  </si>
  <si>
    <t>Section 15.8 - Supervision</t>
  </si>
  <si>
    <t>Section 15.9 - Training</t>
  </si>
  <si>
    <t>Section 16.1 - Administration</t>
  </si>
  <si>
    <t>Section 17.1 - Operations</t>
  </si>
  <si>
    <t>Section 18.1 - Operations</t>
  </si>
  <si>
    <t>Section 18.2 - Security</t>
  </si>
  <si>
    <t>Section 19.1 - Recording</t>
  </si>
  <si>
    <t>Section 19.2 - Civil</t>
  </si>
  <si>
    <t>Section 19.3 - Criminal</t>
  </si>
  <si>
    <t>Section 20.1 - Administration and Operations</t>
  </si>
  <si>
    <t>Section 20.2 - Management</t>
  </si>
  <si>
    <t>Section 21.1 - Administration and Operations</t>
  </si>
  <si>
    <t>Section 22.1 - Administration and Operations</t>
  </si>
  <si>
    <t>Section 23.1 - General</t>
  </si>
  <si>
    <t>Section 23.2 - Medical Centers</t>
  </si>
  <si>
    <t>Section 23.3 - Research Intensive Facilities</t>
  </si>
  <si>
    <t>Section 15.2 - Conditions</t>
  </si>
  <si>
    <r>
      <t xml:space="preserve">1.2.6 Bias Policing; [M] </t>
    </r>
    <r>
      <rPr>
        <b/>
        <sz val="12"/>
        <color rgb="FFC00000"/>
        <rFont val="Times New Roman"/>
        <family val="1"/>
      </rPr>
      <t>[Time Sensitive]</t>
    </r>
  </si>
  <si>
    <t>Section 11.3 - Training</t>
  </si>
  <si>
    <t>Section 15.3 - Inspections</t>
  </si>
  <si>
    <t>2.1.1 Organizational Structure: [O]</t>
  </si>
  <si>
    <t>Standard - Number &amp; Title</t>
  </si>
  <si>
    <t>1.2.8 No-Knock Entries: [O]</t>
  </si>
  <si>
    <t>3.2.3 Personnel Support Services Program: [O]</t>
  </si>
  <si>
    <t>6.1.5 Choke Holds and Carotid Restraints: [M]</t>
  </si>
  <si>
    <t>Other-Than Mandatory</t>
  </si>
  <si>
    <t>Mandatory</t>
  </si>
  <si>
    <t>[6] N/A BY FUNCTION</t>
  </si>
  <si>
    <t>[7] Elected 25%</t>
  </si>
  <si>
    <t>[8] WAIVER granted</t>
  </si>
  <si>
    <t>[3] DRAFTED new or revised wd</t>
  </si>
  <si>
    <t>[2] REVISION needed to wd</t>
  </si>
  <si>
    <t>[1] NEW wd needed</t>
  </si>
  <si>
    <t>[0] PENDING review</t>
  </si>
  <si>
    <t>[4] STANDARD does not require wd</t>
  </si>
  <si>
    <t>[5] COMPLIANT as written</t>
  </si>
  <si>
    <t>REVISION needed</t>
  </si>
  <si>
    <t>DRAFT DONE</t>
  </si>
  <si>
    <t>COMPLIANT</t>
  </si>
  <si>
    <t>TOTALS</t>
  </si>
  <si>
    <t>NOT REQUIRED</t>
  </si>
  <si>
    <t>Chapter 1</t>
  </si>
  <si>
    <t>ALL</t>
  </si>
  <si>
    <t>Chapter 2</t>
  </si>
  <si>
    <t>Chapter 3</t>
  </si>
  <si>
    <t>Chapter 4</t>
  </si>
  <si>
    <t>Chapter 5</t>
  </si>
  <si>
    <t>Chapter 6</t>
  </si>
  <si>
    <t>Chapter 7</t>
  </si>
  <si>
    <t>Chapter 8</t>
  </si>
  <si>
    <t>Chapter 9</t>
  </si>
  <si>
    <t>Chapter 20</t>
  </si>
  <si>
    <t>Chapter 21</t>
  </si>
  <si>
    <t>Chapter 22</t>
  </si>
  <si>
    <t>Chapter 23</t>
  </si>
  <si>
    <t>[0]</t>
  </si>
  <si>
    <t>PENDING Review</t>
  </si>
  <si>
    <t>[1]</t>
  </si>
  <si>
    <t>NEW needed</t>
  </si>
  <si>
    <t>[2]</t>
  </si>
  <si>
    <t>[4]</t>
  </si>
  <si>
    <t>[5]</t>
  </si>
  <si>
    <t>[6]</t>
  </si>
  <si>
    <t>[3]</t>
  </si>
  <si>
    <t>N/A by Function</t>
  </si>
  <si>
    <t>[7]</t>
  </si>
  <si>
    <t>ELECTED 25%</t>
  </si>
  <si>
    <t>[8]</t>
  </si>
  <si>
    <t>WAIVER Granted</t>
  </si>
  <si>
    <t>Chapter 10</t>
  </si>
  <si>
    <t>Chapter 11</t>
  </si>
  <si>
    <t>Chapter 12</t>
  </si>
  <si>
    <t>Chapter 13</t>
  </si>
  <si>
    <t>Chapter 14</t>
  </si>
  <si>
    <t>Chapter 15</t>
  </si>
  <si>
    <t>Chapter 16</t>
  </si>
  <si>
    <t>Chapter 17</t>
  </si>
  <si>
    <t>Chapter 18</t>
  </si>
  <si>
    <t>Chapter 19</t>
  </si>
  <si>
    <t>WD Status</t>
  </si>
  <si>
    <t>Proof Status</t>
  </si>
  <si>
    <t>[1] PENDING</t>
  </si>
  <si>
    <t>[1] ASSIGNED</t>
  </si>
  <si>
    <t>[2] RECEIVED</t>
  </si>
  <si>
    <t>GAP ANALYSIS</t>
  </si>
  <si>
    <t>FILE CONSTRUCTION STATUS</t>
  </si>
  <si>
    <t>STANDARDS</t>
  </si>
  <si>
    <t>[2] IN THE FILE</t>
  </si>
  <si>
    <t>[3] IN THE FILE</t>
  </si>
  <si>
    <t>ASSIGNED</t>
  </si>
  <si>
    <t>RECEIVED</t>
  </si>
  <si>
    <t>IN THE FILE</t>
  </si>
  <si>
    <t>PENDING</t>
  </si>
  <si>
    <t>[0] PENDING</t>
  </si>
  <si>
    <t>FILE</t>
  </si>
  <si>
    <t>Written Directive Status</t>
  </si>
  <si>
    <t>TOTAL</t>
  </si>
  <si>
    <t>YR 4</t>
  </si>
  <si>
    <t>YR 3</t>
  </si>
  <si>
    <t>YR 2</t>
  </si>
  <si>
    <t>YR 1</t>
  </si>
  <si>
    <r>
      <t>16.1.3 Transparency in Policing [M]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rgb="FFC00000"/>
        <rFont val="Times New Roman"/>
        <family val="1"/>
      </rPr>
      <t>[Time Sensitive]</t>
    </r>
  </si>
  <si>
    <t>Proof Status 
Year 1</t>
  </si>
  <si>
    <t>Proof Status 
Year 2</t>
  </si>
  <si>
    <t>Proof Status 
Year 3</t>
  </si>
  <si>
    <t>Proof Status 
Year 4</t>
  </si>
  <si>
    <t>Written Directive 
Gap Analysis</t>
  </si>
  <si>
    <t>2.2.1 Accountability, Responsibility, and Authority: [M]</t>
  </si>
  <si>
    <t>3.3.1 Off-Duty, Extra-Duty, and Outside Employment: [M]</t>
  </si>
  <si>
    <r>
      <t xml:space="preserve">4.1.4 Recruitment, Retention, and Program Plan: [O] </t>
    </r>
    <r>
      <rPr>
        <b/>
        <sz val="12"/>
        <color rgb="FFC00000"/>
        <rFont val="Times New Roman"/>
        <family val="1"/>
      </rPr>
      <t>[Time Sensitive]</t>
    </r>
  </si>
  <si>
    <t>17.1.2 Victim/Witness Follow-Up: [O]</t>
  </si>
  <si>
    <t>Written Directive Status 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</si>
</sst>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;@"/>
    <numFmt numFmtId="165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7030A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 tint="-0.1499984740745262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.5"/>
      <color theme="1"/>
      <name val="Arial Narrow"/>
      <family val="2"/>
    </font>
    <font>
      <b/>
      <sz val="16"/>
      <color theme="0"/>
      <name val="Times New Roman"/>
      <family val="1"/>
    </font>
    <font>
      <b/>
      <sz val="11"/>
      <color theme="0" tint="-0.499984740745262"/>
      <name val="Calibri"/>
      <family val="2"/>
      <scheme val="minor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0"/>
      <name val="Times New Roman"/>
      <family val="1"/>
    </font>
    <font>
      <sz val="16"/>
      <color theme="0"/>
      <name val="Times New Roman"/>
      <family val="1"/>
    </font>
    <font>
      <b/>
      <sz val="16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rgb="FFC00000"/>
        </stop>
        <stop position="0.5">
          <color rgb="FFFF0000"/>
        </stop>
        <stop position="1">
          <color rgb="FFC00000"/>
        </stop>
      </gradientFill>
    </fill>
    <fill>
      <gradientFill degree="90">
        <stop position="0">
          <color rgb="FFF4EE00"/>
        </stop>
        <stop position="0.5">
          <color rgb="FFFFFF89"/>
        </stop>
        <stop position="1">
          <color rgb="FFF4EE00"/>
        </stop>
      </gradientFill>
    </fill>
    <fill>
      <gradientFill degree="90">
        <stop position="0">
          <color rgb="FF00B050"/>
        </stop>
        <stop position="0.5">
          <color rgb="FF92D050"/>
        </stop>
        <stop position="1">
          <color rgb="FF00B050"/>
        </stop>
      </gradientFill>
    </fill>
    <fill>
      <gradientFill degree="90">
        <stop position="0">
          <color theme="0" tint="-0.34900967436750391"/>
        </stop>
        <stop position="0.5">
          <color theme="0" tint="-5.0965910824915313E-2"/>
        </stop>
        <stop position="1">
          <color theme="0" tint="-0.34900967436750391"/>
        </stop>
      </gradientFill>
    </fill>
    <fill>
      <gradientFill degree="90">
        <stop position="0">
          <color theme="1"/>
        </stop>
        <stop position="0.5">
          <color rgb="FF7030A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6699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CC0099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66FF"/>
        </stop>
        <stop position="1">
          <color theme="1"/>
        </stop>
      </gradientFill>
    </fill>
    <fill>
      <gradientFill degree="90">
        <stop position="0">
          <color theme="0" tint="-0.1490218817712943"/>
        </stop>
        <stop position="0.5">
          <color theme="0" tint="-5.0965910824915313E-2"/>
        </stop>
        <stop position="1">
          <color theme="0" tint="-0.1490218817712943"/>
        </stop>
      </gradientFill>
    </fill>
    <fill>
      <gradientFill degree="90">
        <stop position="0">
          <color theme="0" tint="-0.34900967436750391"/>
        </stop>
        <stop position="0.5">
          <color theme="0" tint="-0.1490218817712943"/>
        </stop>
        <stop position="1">
          <color theme="0" tint="-0.34900967436750391"/>
        </stop>
      </gradientFill>
    </fill>
    <fill>
      <gradientFill degree="90">
        <stop position="0">
          <color theme="0" tint="-0.49803155613879818"/>
        </stop>
        <stop position="0.5">
          <color theme="0" tint="-0.25098422193060094"/>
        </stop>
        <stop position="1">
          <color theme="0" tint="-0.49803155613879818"/>
        </stop>
      </gradientFill>
    </fill>
    <fill>
      <patternFill patternType="solid">
        <fgColor theme="0" tint="-0.499984740745262"/>
        <bgColor indexed="64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gradientFill degree="90">
        <stop position="0">
          <color theme="4" tint="0.40000610370189521"/>
        </stop>
        <stop position="0.5">
          <color theme="4" tint="0.59999389629810485"/>
        </stop>
        <stop position="1">
          <color theme="4" tint="0.40000610370189521"/>
        </stop>
      </gradientFill>
    </fill>
    <fill>
      <gradientFill degree="90"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gradientFill degree="90">
        <stop position="0">
          <color theme="1" tint="0.25098422193060094"/>
        </stop>
        <stop position="0.5">
          <color rgb="FFC00000"/>
        </stop>
        <stop position="1">
          <color theme="1" tint="0.25098422193060094"/>
        </stop>
      </gradientFill>
    </fill>
    <fill>
      <patternFill patternType="solid">
        <fgColor theme="0"/>
        <bgColor auto="1"/>
      </patternFill>
    </fill>
  </fills>
  <borders count="29">
    <border>
      <left/>
      <right/>
      <top/>
      <bottom/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4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4.9989318521683403E-2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34998626667073579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499984740745262"/>
      </right>
      <top style="medium">
        <color theme="0" tint="-0.14996795556505021"/>
      </top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0" tint="-0.14993743705557422"/>
      </left>
      <right/>
      <top style="medium">
        <color theme="0" tint="-0.14996795556505021"/>
      </top>
      <bottom/>
      <diagonal/>
    </border>
    <border>
      <left style="medium">
        <color theme="0" tint="-0.14993743705557422"/>
      </left>
      <right/>
      <top/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Fill="1"/>
    <xf numFmtId="0" fontId="0" fillId="0" borderId="0" xfId="0" applyFont="1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14" fontId="6" fillId="2" borderId="0" xfId="0" applyNumberFormat="1" applyFont="1" applyFill="1" applyAlignment="1">
      <alignment horizontal="left"/>
    </xf>
    <xf numFmtId="0" fontId="6" fillId="2" borderId="0" xfId="0" applyFont="1" applyFill="1" applyAlignment="1"/>
    <xf numFmtId="0" fontId="7" fillId="0" borderId="0" xfId="0" applyFont="1"/>
    <xf numFmtId="0" fontId="7" fillId="5" borderId="0" xfId="0" applyFont="1" applyFill="1"/>
    <xf numFmtId="0" fontId="7" fillId="7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8" borderId="0" xfId="0" applyFill="1" applyAlignment="1">
      <alignment horizontal="center" wrapText="1"/>
    </xf>
    <xf numFmtId="0" fontId="10" fillId="0" borderId="0" xfId="0" applyFont="1"/>
    <xf numFmtId="0" fontId="11" fillId="8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10" borderId="2" xfId="0" applyFont="1" applyFill="1" applyBorder="1" applyAlignment="1">
      <alignment horizontal="center" wrapText="1"/>
    </xf>
    <xf numFmtId="9" fontId="7" fillId="8" borderId="3" xfId="1" applyFont="1" applyFill="1" applyBorder="1" applyAlignment="1">
      <alignment wrapText="1"/>
    </xf>
    <xf numFmtId="9" fontId="11" fillId="8" borderId="0" xfId="1" applyFont="1" applyFill="1" applyAlignment="1">
      <alignment horizontal="center" wrapText="1"/>
    </xf>
    <xf numFmtId="0" fontId="12" fillId="6" borderId="5" xfId="0" applyFont="1" applyFill="1" applyBorder="1" applyAlignment="1">
      <alignment horizontal="center" wrapText="1"/>
    </xf>
    <xf numFmtId="9" fontId="7" fillId="6" borderId="6" xfId="1" applyFont="1" applyFill="1" applyBorder="1" applyAlignment="1">
      <alignment horizontal="center" wrapText="1"/>
    </xf>
    <xf numFmtId="0" fontId="14" fillId="5" borderId="5" xfId="0" applyFont="1" applyFill="1" applyBorder="1" applyAlignment="1">
      <alignment horizontal="center" wrapText="1"/>
    </xf>
    <xf numFmtId="9" fontId="14" fillId="5" borderId="6" xfId="1" applyFont="1" applyFill="1" applyBorder="1" applyAlignment="1">
      <alignment horizontal="center" wrapText="1"/>
    </xf>
    <xf numFmtId="0" fontId="14" fillId="7" borderId="5" xfId="0" applyFont="1" applyFill="1" applyBorder="1" applyAlignment="1">
      <alignment horizontal="center" wrapText="1"/>
    </xf>
    <xf numFmtId="9" fontId="14" fillId="7" borderId="6" xfId="1" applyFont="1" applyFill="1" applyBorder="1" applyAlignment="1">
      <alignment horizontal="center" wrapText="1"/>
    </xf>
    <xf numFmtId="0" fontId="14" fillId="7" borderId="7" xfId="0" applyFont="1" applyFill="1" applyBorder="1" applyAlignment="1">
      <alignment horizontal="center" wrapText="1"/>
    </xf>
    <xf numFmtId="9" fontId="14" fillId="7" borderId="8" xfId="1" applyFont="1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7" borderId="4" xfId="0" applyFill="1" applyBorder="1" applyAlignment="1">
      <alignment horizontal="center" vertical="center" wrapText="1"/>
    </xf>
    <xf numFmtId="9" fontId="7" fillId="8" borderId="0" xfId="1" applyFont="1" applyFill="1" applyBorder="1" applyAlignment="1">
      <alignment horizontal="center" wrapText="1"/>
    </xf>
    <xf numFmtId="0" fontId="7" fillId="8" borderId="9" xfId="0" applyFont="1" applyFill="1" applyBorder="1" applyAlignment="1">
      <alignment horizontal="center" wrapText="1"/>
    </xf>
    <xf numFmtId="9" fontId="7" fillId="8" borderId="10" xfId="1" applyFont="1" applyFill="1" applyBorder="1" applyAlignment="1">
      <alignment horizontal="center" wrapText="1"/>
    </xf>
    <xf numFmtId="0" fontId="14" fillId="6" borderId="5" xfId="0" applyFont="1" applyFill="1" applyBorder="1" applyAlignment="1">
      <alignment horizontal="center" wrapText="1"/>
    </xf>
    <xf numFmtId="9" fontId="14" fillId="6" borderId="6" xfId="1" applyFont="1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0" fillId="8" borderId="0" xfId="0" applyFill="1" applyAlignment="1">
      <alignment wrapText="1"/>
    </xf>
    <xf numFmtId="0" fontId="7" fillId="8" borderId="0" xfId="0" applyFont="1" applyFill="1" applyAlignment="1">
      <alignment wrapText="1"/>
    </xf>
    <xf numFmtId="0" fontId="0" fillId="9" borderId="0" xfId="0" applyFill="1" applyBorder="1" applyAlignment="1">
      <alignment wrapText="1"/>
    </xf>
    <xf numFmtId="0" fontId="0" fillId="8" borderId="0" xfId="0" applyFill="1"/>
    <xf numFmtId="0" fontId="13" fillId="6" borderId="0" xfId="0" applyFont="1" applyFill="1"/>
    <xf numFmtId="0" fontId="13" fillId="6" borderId="0" xfId="0" quotePrefix="1" applyFont="1" applyFill="1"/>
    <xf numFmtId="0" fontId="0" fillId="9" borderId="11" xfId="0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0" fillId="9" borderId="13" xfId="0" applyFill="1" applyBorder="1" applyAlignment="1">
      <alignment wrapText="1"/>
    </xf>
    <xf numFmtId="0" fontId="0" fillId="9" borderId="14" xfId="0" applyFill="1" applyBorder="1" applyAlignment="1">
      <alignment wrapText="1"/>
    </xf>
    <xf numFmtId="0" fontId="0" fillId="9" borderId="15" xfId="0" applyFill="1" applyBorder="1" applyAlignment="1">
      <alignment wrapText="1"/>
    </xf>
    <xf numFmtId="0" fontId="0" fillId="9" borderId="16" xfId="0" applyFill="1" applyBorder="1" applyAlignment="1">
      <alignment wrapText="1"/>
    </xf>
    <xf numFmtId="0" fontId="0" fillId="9" borderId="17" xfId="0" applyFill="1" applyBorder="1" applyAlignment="1">
      <alignment wrapText="1"/>
    </xf>
    <xf numFmtId="0" fontId="0" fillId="9" borderId="18" xfId="0" applyFill="1" applyBorder="1" applyAlignment="1">
      <alignment wrapText="1"/>
    </xf>
    <xf numFmtId="0" fontId="7" fillId="8" borderId="0" xfId="0" applyFont="1" applyFill="1"/>
    <xf numFmtId="0" fontId="10" fillId="8" borderId="0" xfId="0" applyFont="1" applyFill="1"/>
    <xf numFmtId="0" fontId="8" fillId="8" borderId="1" xfId="0" applyFont="1" applyFill="1" applyBorder="1" applyAlignment="1">
      <alignment horizontal="center" wrapText="1"/>
    </xf>
    <xf numFmtId="9" fontId="8" fillId="4" borderId="2" xfId="1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9" fontId="21" fillId="10" borderId="2" xfId="1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9" fontId="22" fillId="10" borderId="2" xfId="1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9" fontId="23" fillId="10" borderId="2" xfId="1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2" fillId="3" borderId="0" xfId="0" applyFont="1" applyFill="1" applyAlignment="1">
      <alignment vertical="center"/>
    </xf>
    <xf numFmtId="0" fontId="24" fillId="11" borderId="0" xfId="0" applyFont="1" applyFill="1" applyBorder="1" applyAlignment="1">
      <alignment horizontal="center" wrapText="1"/>
    </xf>
    <xf numFmtId="165" fontId="24" fillId="11" borderId="0" xfId="0" applyNumberFormat="1" applyFont="1" applyFill="1" applyBorder="1" applyAlignment="1">
      <alignment horizontal="center" wrapText="1"/>
    </xf>
    <xf numFmtId="0" fontId="24" fillId="12" borderId="0" xfId="0" applyFont="1" applyFill="1" applyBorder="1" applyAlignment="1">
      <alignment horizontal="center" wrapText="1"/>
    </xf>
    <xf numFmtId="165" fontId="24" fillId="12" borderId="0" xfId="0" applyNumberFormat="1" applyFont="1" applyFill="1" applyBorder="1" applyAlignment="1">
      <alignment horizontal="center" wrapText="1"/>
    </xf>
    <xf numFmtId="0" fontId="24" fillId="13" borderId="0" xfId="0" applyFont="1" applyFill="1" applyBorder="1" applyAlignment="1">
      <alignment horizontal="center" wrapText="1"/>
    </xf>
    <xf numFmtId="165" fontId="24" fillId="13" borderId="0" xfId="0" applyNumberFormat="1" applyFont="1" applyFill="1" applyBorder="1" applyAlignment="1">
      <alignment horizontal="center" wrapText="1"/>
    </xf>
    <xf numFmtId="0" fontId="25" fillId="9" borderId="12" xfId="0" applyFont="1" applyFill="1" applyBorder="1" applyAlignment="1">
      <alignment horizontal="center" wrapText="1"/>
    </xf>
    <xf numFmtId="0" fontId="25" fillId="9" borderId="12" xfId="0" applyFont="1" applyFill="1" applyBorder="1" applyAlignment="1">
      <alignment wrapText="1"/>
    </xf>
    <xf numFmtId="0" fontId="25" fillId="9" borderId="0" xfId="0" applyFont="1" applyFill="1" applyBorder="1" applyAlignment="1">
      <alignment horizontal="center" wrapText="1"/>
    </xf>
    <xf numFmtId="0" fontId="25" fillId="9" borderId="0" xfId="0" applyFont="1" applyFill="1" applyBorder="1" applyAlignment="1">
      <alignment wrapText="1"/>
    </xf>
    <xf numFmtId="0" fontId="15" fillId="8" borderId="0" xfId="0" applyFont="1" applyFill="1" applyAlignment="1">
      <alignment wrapText="1"/>
    </xf>
    <xf numFmtId="0" fontId="0" fillId="6" borderId="0" xfId="0" applyFill="1"/>
    <xf numFmtId="0" fontId="0" fillId="7" borderId="0" xfId="0" applyFill="1"/>
    <xf numFmtId="0" fontId="0" fillId="5" borderId="0" xfId="0" applyFill="1"/>
    <xf numFmtId="0" fontId="0" fillId="3" borderId="0" xfId="0" applyFill="1"/>
    <xf numFmtId="0" fontId="9" fillId="0" borderId="0" xfId="0" applyFont="1" applyFill="1"/>
    <xf numFmtId="0" fontId="8" fillId="0" borderId="0" xfId="0" applyFont="1" applyFill="1"/>
    <xf numFmtId="0" fontId="15" fillId="8" borderId="0" xfId="0" applyFont="1" applyFill="1"/>
    <xf numFmtId="0" fontId="2" fillId="20" borderId="19" xfId="0" applyFont="1" applyFill="1" applyBorder="1" applyAlignment="1">
      <alignment vertical="center"/>
    </xf>
    <xf numFmtId="0" fontId="0" fillId="8" borderId="0" xfId="0" applyFont="1" applyFill="1" applyAlignment="1">
      <alignment horizontal="center"/>
    </xf>
    <xf numFmtId="0" fontId="0" fillId="8" borderId="0" xfId="0" applyFont="1" applyFill="1"/>
    <xf numFmtId="0" fontId="0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3" fillId="8" borderId="0" xfId="0" applyFont="1" applyFill="1" applyAlignment="1">
      <alignment horizontal="center" wrapText="1"/>
    </xf>
    <xf numFmtId="0" fontId="14" fillId="8" borderId="0" xfId="0" applyFont="1" applyFill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4" fillId="8" borderId="0" xfId="0" applyFont="1" applyFill="1" applyAlignment="1">
      <alignment horizontal="center" wrapText="1"/>
    </xf>
    <xf numFmtId="9" fontId="14" fillId="8" borderId="0" xfId="1" applyFont="1" applyFill="1" applyAlignment="1">
      <alignment horizontal="center" wrapText="1"/>
    </xf>
    <xf numFmtId="0" fontId="15" fillId="8" borderId="0" xfId="0" applyFont="1" applyFill="1" applyAlignment="1">
      <alignment horizontal="center"/>
    </xf>
    <xf numFmtId="0" fontId="15" fillId="8" borderId="0" xfId="0" applyFont="1" applyFill="1" applyAlignment="1"/>
    <xf numFmtId="0" fontId="8" fillId="8" borderId="0" xfId="0" applyFont="1" applyFill="1" applyBorder="1" applyAlignment="1">
      <alignment horizontal="center" wrapText="1"/>
    </xf>
    <xf numFmtId="0" fontId="0" fillId="8" borderId="0" xfId="0" applyFill="1" applyBorder="1" applyAlignment="1">
      <alignment wrapText="1"/>
    </xf>
    <xf numFmtId="9" fontId="8" fillId="8" borderId="0" xfId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4" fillId="8" borderId="0" xfId="0" applyFont="1" applyFill="1"/>
    <xf numFmtId="0" fontId="15" fillId="0" borderId="0" xfId="0" applyFont="1"/>
    <xf numFmtId="9" fontId="9" fillId="0" borderId="0" xfId="1" applyFont="1" applyFill="1"/>
    <xf numFmtId="0" fontId="25" fillId="22" borderId="0" xfId="0" applyFont="1" applyFill="1" applyBorder="1"/>
    <xf numFmtId="0" fontId="25" fillId="22" borderId="12" xfId="0" applyFont="1" applyFill="1" applyBorder="1" applyAlignment="1"/>
    <xf numFmtId="0" fontId="28" fillId="22" borderId="0" xfId="0" applyFont="1" applyFill="1" applyBorder="1"/>
    <xf numFmtId="0" fontId="25" fillId="4" borderId="11" xfId="0" applyFont="1" applyFill="1" applyBorder="1" applyAlignment="1">
      <alignment wrapText="1"/>
    </xf>
    <xf numFmtId="0" fontId="25" fillId="4" borderId="14" xfId="0" applyFont="1" applyFill="1" applyBorder="1" applyAlignment="1">
      <alignment wrapText="1"/>
    </xf>
    <xf numFmtId="0" fontId="28" fillId="4" borderId="14" xfId="0" applyFont="1" applyFill="1" applyBorder="1" applyAlignment="1">
      <alignment horizontal="center" wrapText="1"/>
    </xf>
    <xf numFmtId="0" fontId="25" fillId="4" borderId="22" xfId="0" applyFont="1" applyFill="1" applyBorder="1"/>
    <xf numFmtId="0" fontId="25" fillId="4" borderId="23" xfId="0" applyFont="1" applyFill="1" applyBorder="1"/>
    <xf numFmtId="0" fontId="28" fillId="4" borderId="23" xfId="0" applyFont="1" applyFill="1" applyBorder="1"/>
    <xf numFmtId="0" fontId="25" fillId="22" borderId="24" xfId="0" applyFont="1" applyFill="1" applyBorder="1" applyAlignment="1"/>
    <xf numFmtId="0" fontId="25" fillId="22" borderId="25" xfId="0" applyFont="1" applyFill="1" applyBorder="1"/>
    <xf numFmtId="0" fontId="25" fillId="22" borderId="26" xfId="0" applyFont="1" applyFill="1" applyBorder="1" applyAlignment="1"/>
    <xf numFmtId="0" fontId="25" fillId="22" borderId="27" xfId="0" applyFont="1" applyFill="1" applyBorder="1"/>
    <xf numFmtId="0" fontId="28" fillId="22" borderId="25" xfId="0" applyFont="1" applyFill="1" applyBorder="1"/>
    <xf numFmtId="0" fontId="28" fillId="22" borderId="27" xfId="0" applyFont="1" applyFill="1" applyBorder="1"/>
    <xf numFmtId="165" fontId="8" fillId="0" borderId="0" xfId="1" applyNumberFormat="1" applyFont="1" applyFill="1"/>
    <xf numFmtId="0" fontId="0" fillId="8" borderId="0" xfId="0" applyFont="1" applyFill="1" applyBorder="1" applyAlignment="1"/>
    <xf numFmtId="165" fontId="15" fillId="22" borderId="0" xfId="1" applyNumberFormat="1" applyFont="1" applyFill="1" applyBorder="1"/>
    <xf numFmtId="0" fontId="15" fillId="22" borderId="0" xfId="0" applyFont="1" applyFill="1" applyBorder="1"/>
    <xf numFmtId="9" fontId="15" fillId="22" borderId="0" xfId="1" applyFont="1" applyFill="1" applyBorder="1"/>
    <xf numFmtId="0" fontId="13" fillId="22" borderId="0" xfId="0" applyFont="1" applyFill="1" applyBorder="1"/>
    <xf numFmtId="9" fontId="15" fillId="22" borderId="0" xfId="0" applyNumberFormat="1" applyFont="1" applyFill="1" applyBorder="1"/>
    <xf numFmtId="0" fontId="15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/>
    <xf numFmtId="0" fontId="14" fillId="0" borderId="0" xfId="0" applyFont="1"/>
    <xf numFmtId="164" fontId="31" fillId="21" borderId="0" xfId="0" applyNumberFormat="1" applyFont="1" applyFill="1" applyAlignment="1">
      <alignment horizontal="center" vertical="center" wrapText="1"/>
    </xf>
    <xf numFmtId="0" fontId="30" fillId="24" borderId="20" xfId="0" applyFont="1" applyFill="1" applyBorder="1" applyAlignment="1" applyProtection="1">
      <alignment horizontal="center" vertical="center" wrapText="1"/>
      <protection locked="0"/>
    </xf>
    <xf numFmtId="0" fontId="30" fillId="20" borderId="19" xfId="0" applyFont="1" applyFill="1" applyBorder="1" applyAlignment="1">
      <alignment horizontal="center" vertical="center"/>
    </xf>
    <xf numFmtId="0" fontId="32" fillId="15" borderId="0" xfId="0" applyFont="1" applyFill="1" applyAlignment="1">
      <alignment horizontal="center" wrapText="1"/>
    </xf>
    <xf numFmtId="0" fontId="32" fillId="18" borderId="0" xfId="0" applyFont="1" applyFill="1" applyAlignment="1">
      <alignment horizontal="center" wrapText="1"/>
    </xf>
    <xf numFmtId="0" fontId="32" fillId="17" borderId="0" xfId="0" applyFont="1" applyFill="1" applyAlignment="1">
      <alignment horizontal="center" wrapText="1"/>
    </xf>
    <xf numFmtId="0" fontId="32" fillId="16" borderId="0" xfId="0" applyFont="1" applyFill="1" applyAlignment="1">
      <alignment horizontal="center" wrapText="1"/>
    </xf>
    <xf numFmtId="0" fontId="5" fillId="23" borderId="20" xfId="0" applyFont="1" applyFill="1" applyBorder="1" applyAlignment="1" applyProtection="1">
      <alignment horizontal="left" vertical="center"/>
      <protection locked="0"/>
    </xf>
    <xf numFmtId="164" fontId="5" fillId="19" borderId="20" xfId="0" applyNumberFormat="1" applyFont="1" applyFill="1" applyBorder="1" applyAlignment="1" applyProtection="1">
      <alignment horizontal="left" vertical="center"/>
      <protection locked="0"/>
    </xf>
    <xf numFmtId="0" fontId="5" fillId="19" borderId="20" xfId="0" applyFont="1" applyFill="1" applyBorder="1" applyAlignment="1" applyProtection="1">
      <alignment horizontal="left" vertical="center"/>
      <protection locked="0"/>
    </xf>
    <xf numFmtId="0" fontId="5" fillId="19" borderId="21" xfId="0" applyFont="1" applyFill="1" applyBorder="1" applyAlignment="1" applyProtection="1">
      <alignment horizontal="left" vertical="center"/>
      <protection locked="0"/>
    </xf>
    <xf numFmtId="0" fontId="5" fillId="27" borderId="20" xfId="0" applyFont="1" applyFill="1" applyBorder="1" applyAlignment="1" applyProtection="1">
      <alignment horizontal="left" vertical="top" wrapText="1"/>
      <protection locked="0"/>
    </xf>
    <xf numFmtId="0" fontId="16" fillId="11" borderId="0" xfId="0" applyFont="1" applyFill="1" applyBorder="1" applyAlignment="1">
      <alignment horizontal="center" wrapText="1"/>
    </xf>
    <xf numFmtId="165" fontId="17" fillId="11" borderId="0" xfId="0" applyNumberFormat="1" applyFont="1" applyFill="1" applyBorder="1" applyAlignment="1">
      <alignment horizontal="center" wrapText="1"/>
    </xf>
    <xf numFmtId="0" fontId="16" fillId="12" borderId="0" xfId="0" applyFont="1" applyFill="1" applyBorder="1" applyAlignment="1">
      <alignment horizontal="center" wrapText="1"/>
    </xf>
    <xf numFmtId="165" fontId="17" fillId="12" borderId="0" xfId="0" applyNumberFormat="1" applyFont="1" applyFill="1" applyBorder="1" applyAlignment="1">
      <alignment horizontal="center" wrapText="1"/>
    </xf>
    <xf numFmtId="0" fontId="16" fillId="13" borderId="0" xfId="0" applyFont="1" applyFill="1" applyBorder="1" applyAlignment="1">
      <alignment horizontal="center" wrapText="1"/>
    </xf>
    <xf numFmtId="165" fontId="17" fillId="13" borderId="0" xfId="0" applyNumberFormat="1" applyFont="1" applyFill="1" applyBorder="1" applyAlignment="1">
      <alignment horizontal="center" wrapText="1"/>
    </xf>
    <xf numFmtId="0" fontId="0" fillId="8" borderId="0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 wrapText="1"/>
    </xf>
    <xf numFmtId="0" fontId="18" fillId="14" borderId="0" xfId="0" applyFont="1" applyFill="1" applyBorder="1" applyAlignment="1">
      <alignment horizontal="center" wrapText="1"/>
    </xf>
    <xf numFmtId="165" fontId="19" fillId="14" borderId="0" xfId="0" applyNumberFormat="1" applyFont="1" applyFill="1" applyBorder="1" applyAlignment="1">
      <alignment horizontal="center" wrapText="1"/>
    </xf>
    <xf numFmtId="0" fontId="20" fillId="9" borderId="0" xfId="0" applyFont="1" applyFill="1" applyBorder="1" applyAlignment="1">
      <alignment horizontal="center" vertical="center" wrapText="1"/>
    </xf>
    <xf numFmtId="0" fontId="27" fillId="26" borderId="28" xfId="0" applyFont="1" applyFill="1" applyBorder="1" applyAlignment="1">
      <alignment horizontal="center" vertical="center"/>
    </xf>
    <xf numFmtId="164" fontId="33" fillId="25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3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7" tint="-0.499984740745262"/>
      </font>
    </dxf>
    <dxf>
      <font>
        <color theme="7" tint="-0.499984740745262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7" tint="-0.499984740745262"/>
      </font>
    </dxf>
    <dxf>
      <font>
        <color theme="7" tint="-0.499984740745262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0" tint="-0.499984740745262"/>
      </font>
    </dxf>
    <dxf>
      <font>
        <color rgb="FFC00000"/>
      </font>
    </dxf>
    <dxf>
      <font>
        <color theme="7" tint="-0.24994659260841701"/>
      </font>
    </dxf>
    <dxf>
      <font>
        <color rgb="FF00B050"/>
      </font>
    </dxf>
    <dxf>
      <font>
        <color theme="0" tint="-0.499984740745262"/>
      </font>
    </dxf>
    <dxf>
      <font>
        <color rgb="FFC00000"/>
      </font>
    </dxf>
    <dxf>
      <font>
        <color theme="7" tint="-0.24994659260841701"/>
      </font>
    </dxf>
    <dxf>
      <font>
        <color rgb="FF00B050"/>
      </font>
    </dxf>
    <dxf>
      <font>
        <color theme="0" tint="-0.499984740745262"/>
      </font>
    </dxf>
    <dxf>
      <font>
        <color rgb="FFC00000"/>
      </font>
    </dxf>
    <dxf>
      <font>
        <color theme="7" tint="-0.24994659260841701"/>
      </font>
    </dxf>
    <dxf>
      <font>
        <color rgb="FF00B050"/>
      </font>
    </dxf>
    <dxf>
      <font>
        <color theme="2" tint="-0.499984740745262"/>
      </font>
    </dxf>
    <dxf>
      <font>
        <color rgb="FFC00000"/>
      </font>
    </dxf>
    <dxf>
      <font>
        <color theme="7" tint="-0.24994659260841701"/>
      </font>
    </dxf>
    <dxf>
      <font>
        <color rgb="FF00B050"/>
      </font>
    </dxf>
    <dxf>
      <font>
        <color rgb="FFC00000"/>
      </font>
    </dxf>
    <dxf>
      <font>
        <color rgb="FF00B050"/>
      </font>
    </dxf>
  </dxfs>
  <tableStyles count="0" defaultTableStyle="TableStyleMedium2" defaultPivotStyle="PivotStyleLight16"/>
  <colors>
    <mruColors>
      <color rgb="FF0066FF"/>
      <color rgb="FF006699"/>
      <color rgb="FF9E0075"/>
      <color rgb="FF003550"/>
      <color rgb="FF4FC4FF"/>
      <color rgb="FFFFAFEA"/>
      <color rgb="FF3E1B59"/>
      <color rgb="FFCCCCFF"/>
      <color rgb="FFCC0099"/>
      <color rgb="FFAB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1-216C-498A-9900-AFAE3C918AA5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1-EC84-42B7-B3C5-EE68AFF9DA9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216C-498A-9900-AFAE3C918AA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6C-498A-9900-AFAE3C918AA5}"/>
                </c:ext>
              </c:extLst>
            </c:dLbl>
            <c:dLbl>
              <c:idx val="1"/>
              <c:layout>
                <c:manualLayout>
                  <c:x val="-0.12888888888888889"/>
                  <c:y val="-8.7427284037795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84-42B7-B3C5-EE68AFF9DA96}"/>
                </c:ext>
              </c:extLst>
            </c:dLbl>
            <c:dLbl>
              <c:idx val="2"/>
              <c:layout>
                <c:manualLayout>
                  <c:x val="0.26888888888888879"/>
                  <c:y val="-3.362587847607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6C-498A-9900-AFAE3C918A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DASHBOARD!$P$4:$P$6</c:f>
              <c:strCache>
                <c:ptCount val="3"/>
                <c:pt idx="0">
                  <c:v>TOTAL</c:v>
                </c:pt>
                <c:pt idx="1">
                  <c:v>IN THE FILE</c:v>
                </c:pt>
                <c:pt idx="2">
                  <c:v>PENDING</c:v>
                </c:pt>
              </c:strCache>
            </c:strRef>
          </c:cat>
          <c:val>
            <c:numRef>
              <c:f>DASHBOARD!$Q$4:$Q$6</c:f>
              <c:numCache>
                <c:formatCode>General</c:formatCode>
                <c:ptCount val="3"/>
                <c:pt idx="0">
                  <c:v>167</c:v>
                </c:pt>
                <c:pt idx="1">
                  <c:v>0</c:v>
                </c:pt>
                <c:pt idx="2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4-42B7-B3C5-EE68AFF9DA9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9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spPr>
              <a:solidFill>
                <a:sysClr val="window" lastClr="FFFFFF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3-786E-49DA-AB7B-8B32F4A56A09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2-786E-49DA-AB7B-8B32F4A56A09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786E-49DA-AB7B-8B32F4A56A0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1-786E-49DA-AB7B-8B32F4A56A09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8-684A-4AEC-A14C-E3D44C1A67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E-49DA-AB7B-8B32F4A56A09}"/>
                </c:ext>
              </c:extLst>
            </c:dLbl>
            <c:dLbl>
              <c:idx val="1"/>
              <c:layout>
                <c:manualLayout>
                  <c:x val="-2.2203717181988176E-2"/>
                  <c:y val="6.7638981463457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E-49DA-AB7B-8B32F4A56A09}"/>
                </c:ext>
              </c:extLst>
            </c:dLbl>
            <c:dLbl>
              <c:idx val="2"/>
              <c:layout>
                <c:manualLayout>
                  <c:x val="3.1085204054783308E-2"/>
                  <c:y val="-4.3965337951247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E-49DA-AB7B-8B32F4A56A09}"/>
                </c:ext>
              </c:extLst>
            </c:dLbl>
            <c:dLbl>
              <c:idx val="3"/>
              <c:layout>
                <c:manualLayout>
                  <c:x val="2.8864832336584576E-2"/>
                  <c:y val="-2.0291694439037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E-49DA-AB7B-8B32F4A56A09}"/>
                </c:ext>
              </c:extLst>
            </c:dLbl>
            <c:dLbl>
              <c:idx val="4"/>
              <c:layout>
                <c:manualLayout>
                  <c:x val="2.2203717181988134E-2"/>
                  <c:y val="-3.3819490731729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4A-4AEC-A14C-E3D44C1A67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DASHBOARD!$X$16:$X$20</c:f>
              <c:strCache>
                <c:ptCount val="5"/>
                <c:pt idx="0">
                  <c:v>TOTAL</c:v>
                </c:pt>
                <c:pt idx="1">
                  <c:v>PENDING</c:v>
                </c:pt>
                <c:pt idx="2">
                  <c:v>ASSIGNED</c:v>
                </c:pt>
                <c:pt idx="3">
                  <c:v>RECEIVED</c:v>
                </c:pt>
                <c:pt idx="4">
                  <c:v>IN THE FILE</c:v>
                </c:pt>
              </c:strCache>
            </c:strRef>
          </c:cat>
          <c:val>
            <c:numRef>
              <c:f>DASHBOARD!$Y$16:$Y$20</c:f>
              <c:numCache>
                <c:formatCode>General</c:formatCode>
                <c:ptCount val="5"/>
                <c:pt idx="0">
                  <c:v>167</c:v>
                </c:pt>
                <c:pt idx="1">
                  <c:v>167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E-49DA-AB7B-8B32F4A56A0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9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1-032A-4694-B21C-10BFDC9E9083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3-032A-4694-B21C-10BFDC9E9083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5-032A-4694-B21C-10BFDC9E9083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7-032A-4694-B21C-10BFDC9E9083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9-CFA1-419A-9A85-0E60BD50B72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>
                    <a:defRPr lang="en-US"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2A-4694-B21C-10BFDC9E90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DASHBOARD!$AF$16:$AF$20</c:f>
              <c:strCache>
                <c:ptCount val="5"/>
                <c:pt idx="0">
                  <c:v>TOTAL</c:v>
                </c:pt>
                <c:pt idx="1">
                  <c:v>PENDING</c:v>
                </c:pt>
                <c:pt idx="2">
                  <c:v>ASSIGNED</c:v>
                </c:pt>
                <c:pt idx="3">
                  <c:v>RECEIVED</c:v>
                </c:pt>
                <c:pt idx="4">
                  <c:v>IN THE FILE</c:v>
                </c:pt>
              </c:strCache>
            </c:strRef>
          </c:cat>
          <c:val>
            <c:numRef>
              <c:f>DASHBOARD!$AG$16:$AG$20</c:f>
              <c:numCache>
                <c:formatCode>General</c:formatCode>
                <c:ptCount val="5"/>
                <c:pt idx="0">
                  <c:v>167</c:v>
                </c:pt>
                <c:pt idx="1">
                  <c:v>167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2A-4694-B21C-10BFDC9E90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9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1-B534-430E-AB8D-4A48A7FA7606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3-B534-430E-AB8D-4A48A7FA7606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5-B534-430E-AB8D-4A48A7FA7606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7-B534-430E-AB8D-4A48A7FA7606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8-1D9C-45C3-813E-AB9D9B58BBB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>
                    <a:defRPr lang="en-US"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34-430E-AB8D-4A48A7FA7606}"/>
                </c:ext>
              </c:extLst>
            </c:dLbl>
            <c:dLbl>
              <c:idx val="1"/>
              <c:layout>
                <c:manualLayout>
                  <c:x val="6.6611151545964403E-3"/>
                  <c:y val="-3.3662840412160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34-430E-AB8D-4A48A7FA7606}"/>
                </c:ext>
              </c:extLst>
            </c:dLbl>
            <c:dLbl>
              <c:idx val="2"/>
              <c:layout>
                <c:manualLayout>
                  <c:x val="0"/>
                  <c:y val="-2.0197704247296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34-430E-AB8D-4A48A7FA7606}"/>
                </c:ext>
              </c:extLst>
            </c:dLbl>
            <c:dLbl>
              <c:idx val="3"/>
              <c:layout>
                <c:manualLayout>
                  <c:x val="6.6611151545964403E-3"/>
                  <c:y val="-1.6831420206080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34-430E-AB8D-4A48A7FA7606}"/>
                </c:ext>
              </c:extLst>
            </c:dLbl>
            <c:dLbl>
              <c:idx val="4"/>
              <c:layout>
                <c:manualLayout>
                  <c:x val="2.2203717181987319E-3"/>
                  <c:y val="-3.3662840412160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9C-45C3-813E-AB9D9B58BB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DASHBOARD!$AN$16:$AN$20</c:f>
              <c:strCache>
                <c:ptCount val="5"/>
                <c:pt idx="0">
                  <c:v>TOTAL</c:v>
                </c:pt>
                <c:pt idx="1">
                  <c:v>PENDING</c:v>
                </c:pt>
                <c:pt idx="2">
                  <c:v>ASSIGNED</c:v>
                </c:pt>
                <c:pt idx="3">
                  <c:v>RECEIVED</c:v>
                </c:pt>
                <c:pt idx="4">
                  <c:v>IN THE FILE</c:v>
                </c:pt>
              </c:strCache>
            </c:strRef>
          </c:cat>
          <c:val>
            <c:numRef>
              <c:f>DASHBOARD!$AO$16:$AO$20</c:f>
              <c:numCache>
                <c:formatCode>General</c:formatCode>
                <c:ptCount val="5"/>
                <c:pt idx="0">
                  <c:v>167</c:v>
                </c:pt>
                <c:pt idx="1">
                  <c:v>167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34-430E-AB8D-4A48A7FA760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9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1-3047-4D21-BEB4-FD45EC8494FC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3-3047-4D21-BEB4-FD45EC8494FC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5-3047-4D21-BEB4-FD45EC8494F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7-3047-4D21-BEB4-FD45EC8494FC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8-19E2-417C-A89C-4C7A34F362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>
                    <a:defRPr lang="en-US"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47-4D21-BEB4-FD45EC8494FC}"/>
                </c:ext>
              </c:extLst>
            </c:dLbl>
            <c:dLbl>
              <c:idx val="1"/>
              <c:layout>
                <c:manualLayout>
                  <c:x val="-1.5542672678831191E-2"/>
                  <c:y val="-1.009885212364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47-4D21-BEB4-FD45EC8494FC}"/>
                </c:ext>
              </c:extLst>
            </c:dLbl>
            <c:dLbl>
              <c:idx val="2"/>
              <c:layout>
                <c:manualLayout>
                  <c:x val="0"/>
                  <c:y val="-1.3465136164864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47-4D21-BEB4-FD45EC8494FC}"/>
                </c:ext>
              </c:extLst>
            </c:dLbl>
            <c:dLbl>
              <c:idx val="3"/>
              <c:layout>
                <c:manualLayout>
                  <c:x val="-8.1413059255650958E-17"/>
                  <c:y val="-6.7325680824320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47-4D21-BEB4-FD45EC8494FC}"/>
                </c:ext>
              </c:extLst>
            </c:dLbl>
            <c:dLbl>
              <c:idx val="4"/>
              <c:layout>
                <c:manualLayout>
                  <c:x val="8.8815272450464069E-3"/>
                  <c:y val="3.3662840412160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E2-417C-A89C-4C7A34F362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DASHBOARD!$AV$16:$AV$20</c:f>
              <c:strCache>
                <c:ptCount val="5"/>
                <c:pt idx="0">
                  <c:v>TOTAL</c:v>
                </c:pt>
                <c:pt idx="1">
                  <c:v>PENDING</c:v>
                </c:pt>
                <c:pt idx="2">
                  <c:v>ASSIGNED</c:v>
                </c:pt>
                <c:pt idx="3">
                  <c:v>RECEIVED</c:v>
                </c:pt>
                <c:pt idx="4">
                  <c:v>IN THE FILE</c:v>
                </c:pt>
              </c:strCache>
            </c:strRef>
          </c:cat>
          <c:val>
            <c:numRef>
              <c:f>DASHBOARD!$AW$16:$AW$20</c:f>
              <c:numCache>
                <c:formatCode>General</c:formatCode>
                <c:ptCount val="5"/>
                <c:pt idx="0">
                  <c:v>167</c:v>
                </c:pt>
                <c:pt idx="1">
                  <c:v>167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47-4D21-BEB4-FD45EC8494F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9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1</xdr:row>
      <xdr:rowOff>590550</xdr:rowOff>
    </xdr:from>
    <xdr:to>
      <xdr:col>3</xdr:col>
      <xdr:colOff>504825</xdr:colOff>
      <xdr:row>14</xdr:row>
      <xdr:rowOff>929</xdr:rowOff>
    </xdr:to>
    <xdr:pic>
      <xdr:nvPicPr>
        <xdr:cNvPr id="3" name="Picture 2" descr="See the source image">
          <a:extLst>
            <a:ext uri="{FF2B5EF4-FFF2-40B4-BE49-F238E27FC236}">
              <a16:creationId xmlns:a16="http://schemas.microsoft.com/office/drawing/2014/main" id="{75E77416-A8D5-44D0-881F-48E763C8BC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932"/>
        <a:stretch/>
      </xdr:blipFill>
      <xdr:spPr bwMode="auto">
        <a:xfrm>
          <a:off x="1362075" y="742950"/>
          <a:ext cx="790575" cy="23250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409575</xdr:colOff>
      <xdr:row>1</xdr:row>
      <xdr:rowOff>571500</xdr:rowOff>
    </xdr:from>
    <xdr:to>
      <xdr:col>5</xdr:col>
      <xdr:colOff>333375</xdr:colOff>
      <xdr:row>13</xdr:row>
      <xdr:rowOff>172379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244551E1-A31E-42CB-9B6E-2FD123BFA9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71" r="32669"/>
        <a:stretch/>
      </xdr:blipFill>
      <xdr:spPr bwMode="auto">
        <a:xfrm>
          <a:off x="2838450" y="723900"/>
          <a:ext cx="838200" cy="23250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352425</xdr:colOff>
      <xdr:row>1</xdr:row>
      <xdr:rowOff>581025</xdr:rowOff>
    </xdr:from>
    <xdr:to>
      <xdr:col>7</xdr:col>
      <xdr:colOff>352425</xdr:colOff>
      <xdr:row>13</xdr:row>
      <xdr:rowOff>181904</xdr:rowOff>
    </xdr:to>
    <xdr:pic>
      <xdr:nvPicPr>
        <xdr:cNvPr id="5" name="Picture 4" descr="See the source image">
          <a:extLst>
            <a:ext uri="{FF2B5EF4-FFF2-40B4-BE49-F238E27FC236}">
              <a16:creationId xmlns:a16="http://schemas.microsoft.com/office/drawing/2014/main" id="{6DF5798C-9105-4B01-9589-ADE20E5549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31"/>
        <a:stretch/>
      </xdr:blipFill>
      <xdr:spPr bwMode="auto">
        <a:xfrm>
          <a:off x="4476750" y="733425"/>
          <a:ext cx="781050" cy="2325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26364</xdr:colOff>
      <xdr:row>1</xdr:row>
      <xdr:rowOff>78874</xdr:rowOff>
    </xdr:from>
    <xdr:ext cx="4805033" cy="524054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373DC2B-C6F4-4EEE-B11A-E4EAD880BA7D}"/>
            </a:ext>
          </a:extLst>
        </xdr:cNvPr>
        <xdr:cNvSpPr/>
      </xdr:nvSpPr>
      <xdr:spPr>
        <a:xfrm>
          <a:off x="895520" y="233655"/>
          <a:ext cx="4805033" cy="52405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n-US" sz="2800" b="1" cap="none" spc="0">
              <a:ln/>
              <a:solidFill>
                <a:schemeClr val="bg1">
                  <a:lumMod val="95000"/>
                </a:schemeClr>
              </a:solidFill>
              <a:effectLst/>
              <a:latin typeface="Century Schoolbook" panose="02040604050505020304" pitchFamily="18" charset="0"/>
            </a:rPr>
            <a:t>GAP</a:t>
          </a:r>
          <a:r>
            <a:rPr lang="en-US" sz="2800" b="1" cap="none" spc="0" baseline="0">
              <a:ln/>
              <a:solidFill>
                <a:schemeClr val="bg1">
                  <a:lumMod val="95000"/>
                </a:schemeClr>
              </a:solidFill>
              <a:effectLst/>
              <a:latin typeface="Century Schoolbook" panose="02040604050505020304" pitchFamily="18" charset="0"/>
            </a:rPr>
            <a:t> ANALYSIS </a:t>
          </a:r>
          <a:r>
            <a:rPr lang="en-US" sz="2800" b="1" cap="none" spc="0">
              <a:ln/>
              <a:solidFill>
                <a:schemeClr val="bg1">
                  <a:lumMod val="95000"/>
                </a:schemeClr>
              </a:solidFill>
              <a:effectLst/>
              <a:latin typeface="Century Schoolbook" panose="02040604050505020304" pitchFamily="18" charset="0"/>
            </a:rPr>
            <a:t>STATUS</a:t>
          </a:r>
        </a:p>
      </xdr:txBody>
    </xdr:sp>
    <xdr:clientData/>
  </xdr:oneCellAnchor>
  <xdr:twoCellAnchor editAs="oneCell">
    <xdr:from>
      <xdr:col>8</xdr:col>
      <xdr:colOff>371537</xdr:colOff>
      <xdr:row>0</xdr:row>
      <xdr:rowOff>145548</xdr:rowOff>
    </xdr:from>
    <xdr:to>
      <xdr:col>10</xdr:col>
      <xdr:colOff>419100</xdr:colOff>
      <xdr:row>7</xdr:row>
      <xdr:rowOff>21661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3D7438F-1C2C-4239-85E6-2A798121F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7962" y="145548"/>
          <a:ext cx="1609663" cy="160966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oneCellAnchor>
    <xdr:from>
      <xdr:col>13</xdr:col>
      <xdr:colOff>11906</xdr:colOff>
      <xdr:row>0</xdr:row>
      <xdr:rowOff>119063</xdr:rowOff>
    </xdr:from>
    <xdr:ext cx="12801600" cy="593304"/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763C3B3B-A5E4-40FE-9AC4-026CBC886892}"/>
            </a:ext>
          </a:extLst>
        </xdr:cNvPr>
        <xdr:cNvSpPr/>
      </xdr:nvSpPr>
      <xdr:spPr>
        <a:xfrm>
          <a:off x="8846344" y="119063"/>
          <a:ext cx="1280160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n-US" sz="3200" b="1" cap="none" spc="0">
              <a:ln/>
              <a:solidFill>
                <a:schemeClr val="bg1">
                  <a:lumMod val="95000"/>
                </a:schemeClr>
              </a:solidFill>
              <a:effectLst/>
              <a:latin typeface="Century Schoolbook" panose="02040604050505020304" pitchFamily="18" charset="0"/>
            </a:rPr>
            <a:t>FILE CONSTRUCTION STATUS</a:t>
          </a:r>
        </a:p>
      </xdr:txBody>
    </xdr:sp>
    <xdr:clientData/>
  </xdr:oneCellAnchor>
  <xdr:twoCellAnchor>
    <xdr:from>
      <xdr:col>14</xdr:col>
      <xdr:colOff>654842</xdr:colOff>
      <xdr:row>1</xdr:row>
      <xdr:rowOff>611975</xdr:rowOff>
    </xdr:from>
    <xdr:to>
      <xdr:col>28</xdr:col>
      <xdr:colOff>547686</xdr:colOff>
      <xdr:row>19</xdr:row>
      <xdr:rowOff>197828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9C9CC432-D958-4185-9506-BEF7C590880D}"/>
            </a:ext>
          </a:extLst>
        </xdr:cNvPr>
        <xdr:cNvGrpSpPr/>
      </xdr:nvGrpSpPr>
      <xdr:grpSpPr>
        <a:xfrm>
          <a:off x="10203655" y="766756"/>
          <a:ext cx="9894094" cy="3776853"/>
          <a:chOff x="9328395" y="2636042"/>
          <a:chExt cx="5715000" cy="3776853"/>
        </a:xfrm>
      </xdr:grpSpPr>
      <xdr:graphicFrame macro="">
        <xdr:nvGraphicFramePr>
          <xdr:cNvPr id="65" name="Chart 64">
            <a:extLst>
              <a:ext uri="{FF2B5EF4-FFF2-40B4-BE49-F238E27FC236}">
                <a16:creationId xmlns:a16="http://schemas.microsoft.com/office/drawing/2014/main" id="{A8EFF79E-E7FE-428C-874C-20B10DF97049}"/>
              </a:ext>
            </a:extLst>
          </xdr:cNvPr>
          <xdr:cNvGraphicFramePr/>
        </xdr:nvGraphicFramePr>
        <xdr:xfrm>
          <a:off x="9328395" y="2636042"/>
          <a:ext cx="5715000" cy="37768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72" name="Rectangle 71">
            <a:extLst>
              <a:ext uri="{FF2B5EF4-FFF2-40B4-BE49-F238E27FC236}">
                <a16:creationId xmlns:a16="http://schemas.microsoft.com/office/drawing/2014/main" id="{66542619-046D-45BA-824A-EA676068D24C}"/>
              </a:ext>
            </a:extLst>
          </xdr:cNvPr>
          <xdr:cNvSpPr/>
        </xdr:nvSpPr>
        <xdr:spPr>
          <a:xfrm>
            <a:off x="9335274" y="5703092"/>
            <a:ext cx="5691187" cy="547687"/>
          </a:xfrm>
          <a:prstGeom prst="rect">
            <a:avLst/>
          </a:prstGeom>
          <a:solidFill>
            <a:schemeClr val="bg2">
              <a:lumMod val="75000"/>
            </a:schemeClr>
          </a:solidFill>
          <a:scene3d>
            <a:camera prst="orthographicFront"/>
            <a:lightRig rig="soft" dir="t">
              <a:rot lat="0" lon="0" rev="15600000"/>
            </a:lightRig>
          </a:scene3d>
          <a:sp3d>
            <a:bevelT prst="angle"/>
          </a:sp3d>
        </xdr:spPr>
        <xdr:txBody>
          <a:bodyPr wrap="square" lIns="91440" tIns="45720" rIns="91440" bIns="45720">
            <a:noAutofit/>
            <a:sp3d extrusionH="57150" prstMaterial="softEdge">
              <a:bevelT w="25400" h="38100"/>
            </a:sp3d>
          </a:bodyPr>
          <a:lstStyle/>
          <a:p>
            <a:pPr marL="0" indent="0" algn="ctr"/>
            <a:r>
              <a:rPr lang="en-US" sz="2800" b="1" cap="none" spc="0">
                <a:ln/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WRITTEN DIRECTIVES</a:t>
            </a:r>
          </a:p>
        </xdr:txBody>
      </xdr:sp>
      <xdr:sp macro="" textlink="R5">
        <xdr:nvSpPr>
          <xdr:cNvPr id="8" name="Oval 7">
            <a:extLst>
              <a:ext uri="{FF2B5EF4-FFF2-40B4-BE49-F238E27FC236}">
                <a16:creationId xmlns:a16="http://schemas.microsoft.com/office/drawing/2014/main" id="{FDD8F81D-B932-4B7F-9653-91E015FBAAD4}"/>
              </a:ext>
            </a:extLst>
          </xdr:cNvPr>
          <xdr:cNvSpPr/>
        </xdr:nvSpPr>
        <xdr:spPr>
          <a:xfrm>
            <a:off x="10910165" y="3690939"/>
            <a:ext cx="1733068" cy="1131094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E10D6582-F786-430D-BF1D-EA90121F7CE0}" type="TxLink">
              <a:rPr lang="en-US" sz="2400" b="1" i="0" u="none" strike="noStrike">
                <a:solidFill>
                  <a:sysClr val="windowText" lastClr="000000"/>
                </a:solidFill>
                <a:latin typeface="Century Schoolbook" panose="02040604050505020304" pitchFamily="18" charset="0"/>
                <a:cs typeface="Calibri"/>
              </a:rPr>
              <a:pPr algn="ctr"/>
              <a:t>0.0%</a:t>
            </a:fld>
            <a:endParaRPr lang="en-US" sz="2400" b="1">
              <a:solidFill>
                <a:sysClr val="windowText" lastClr="000000"/>
              </a:solidFill>
              <a:latin typeface="Century Schoolbook" panose="02040604050505020304" pitchFamily="18" charset="0"/>
            </a:endParaRPr>
          </a:p>
        </xdr:txBody>
      </xdr:sp>
    </xdr:grpSp>
    <xdr:clientData/>
  </xdr:twoCellAnchor>
  <xdr:twoCellAnchor>
    <xdr:from>
      <xdr:col>13</xdr:col>
      <xdr:colOff>402429</xdr:colOff>
      <xdr:row>20</xdr:row>
      <xdr:rowOff>195263</xdr:rowOff>
    </xdr:from>
    <xdr:to>
      <xdr:col>21</xdr:col>
      <xdr:colOff>421487</xdr:colOff>
      <xdr:row>42</xdr:row>
      <xdr:rowOff>9526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9491ED71-70C2-4FC1-ABB9-C3E11899A8D4}"/>
            </a:ext>
          </a:extLst>
        </xdr:cNvPr>
        <xdr:cNvGrpSpPr/>
      </xdr:nvGrpSpPr>
      <xdr:grpSpPr>
        <a:xfrm>
          <a:off x="9236867" y="4743451"/>
          <a:ext cx="5734058" cy="3755231"/>
          <a:chOff x="8965406" y="4719638"/>
          <a:chExt cx="5726906" cy="3755231"/>
        </a:xfrm>
      </xdr:grpSpPr>
      <xdr:grpSp>
        <xdr:nvGrpSpPr>
          <xdr:cNvPr id="80" name="Group 79">
            <a:extLst>
              <a:ext uri="{FF2B5EF4-FFF2-40B4-BE49-F238E27FC236}">
                <a16:creationId xmlns:a16="http://schemas.microsoft.com/office/drawing/2014/main" id="{076A4798-CBB0-43D8-9EEA-54F23E9D682C}"/>
              </a:ext>
            </a:extLst>
          </xdr:cNvPr>
          <xdr:cNvGrpSpPr/>
        </xdr:nvGrpSpPr>
        <xdr:grpSpPr>
          <a:xfrm>
            <a:off x="8965406" y="4719638"/>
            <a:ext cx="5726906" cy="3755231"/>
            <a:chOff x="9214039" y="4305140"/>
            <a:chExt cx="5694578" cy="3760275"/>
          </a:xfrm>
        </xdr:grpSpPr>
        <xdr:graphicFrame macro="">
          <xdr:nvGraphicFramePr>
            <xdr:cNvPr id="64" name="Chart 63">
              <a:extLst>
                <a:ext uri="{FF2B5EF4-FFF2-40B4-BE49-F238E27FC236}">
                  <a16:creationId xmlns:a16="http://schemas.microsoft.com/office/drawing/2014/main" id="{E3E5F1FF-BED9-4FC3-97E1-5B34C33C29F7}"/>
                </a:ext>
              </a:extLst>
            </xdr:cNvPr>
            <xdr:cNvGraphicFramePr/>
          </xdr:nvGraphicFramePr>
          <xdr:xfrm>
            <a:off x="9216405" y="4305140"/>
            <a:ext cx="5687475" cy="37602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62" name="Rectangle 61">
              <a:extLst>
                <a:ext uri="{FF2B5EF4-FFF2-40B4-BE49-F238E27FC236}">
                  <a16:creationId xmlns:a16="http://schemas.microsoft.com/office/drawing/2014/main" id="{3C18BC1A-3726-4BB3-9AC9-AB6320154925}"/>
                </a:ext>
              </a:extLst>
            </xdr:cNvPr>
            <xdr:cNvSpPr/>
          </xdr:nvSpPr>
          <xdr:spPr>
            <a:xfrm>
              <a:off x="9214039" y="7328619"/>
              <a:ext cx="5694578" cy="536503"/>
            </a:xfrm>
            <a:prstGeom prst="rect">
              <a:avLst/>
            </a:prstGeom>
            <a:solidFill>
              <a:srgbClr val="7030A0"/>
            </a:solidFill>
            <a:scene3d>
              <a:camera prst="orthographicFront"/>
              <a:lightRig rig="soft" dir="t">
                <a:rot lat="0" lon="0" rev="15600000"/>
              </a:lightRig>
            </a:scene3d>
            <a:sp3d>
              <a:bevelT prst="angle"/>
            </a:sp3d>
          </xdr:spPr>
          <xdr:txBody>
            <a:bodyPr wrap="square" lIns="91440" tIns="45720" rIns="91440" bIns="45720">
              <a:noAutofit/>
              <a:sp3d extrusionH="57150" prstMaterial="softEdge">
                <a:bevelT w="25400" h="38100"/>
              </a:sp3d>
            </a:bodyPr>
            <a:lstStyle/>
            <a:p>
              <a:pPr algn="ctr"/>
              <a:r>
                <a:rPr lang="en-US" sz="2800" b="1" cap="none" spc="0">
                  <a:ln/>
                  <a:solidFill>
                    <a:schemeClr val="bg1"/>
                  </a:solidFill>
                  <a:effectLst/>
                </a:rPr>
                <a:t>YEAR 1 PROOFS</a:t>
              </a:r>
            </a:p>
          </xdr:txBody>
        </xdr:sp>
      </xdr:grpSp>
      <xdr:sp macro="" textlink="Z20">
        <xdr:nvSpPr>
          <xdr:cNvPr id="10" name="Oval 9">
            <a:extLst>
              <a:ext uri="{FF2B5EF4-FFF2-40B4-BE49-F238E27FC236}">
                <a16:creationId xmlns:a16="http://schemas.microsoft.com/office/drawing/2014/main" id="{ED2AE08E-F2AB-467C-8C0B-AE44502D37A6}"/>
              </a:ext>
            </a:extLst>
          </xdr:cNvPr>
          <xdr:cNvSpPr/>
        </xdr:nvSpPr>
        <xdr:spPr>
          <a:xfrm>
            <a:off x="9609921" y="5869782"/>
            <a:ext cx="2996633" cy="1463040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fld id="{2450CBB7-185A-4AE0-9B1F-A8E835DDB526}" type="TxLink">
              <a:rPr lang="en-US" sz="2400" b="1" i="0" u="none" strike="noStrike">
                <a:solidFill>
                  <a:srgbClr val="000000"/>
                </a:solidFill>
                <a:latin typeface="Century Schoolbook" panose="02040604050505020304" pitchFamily="18" charset="0"/>
                <a:cs typeface="Calibri"/>
              </a:rPr>
              <a:pPr algn="ctr"/>
              <a:t>0.0%</a:t>
            </a:fld>
            <a:endParaRPr lang="en-US" sz="2400" b="1">
              <a:latin typeface="Century Schoolbook" panose="02040604050505020304" pitchFamily="18" charset="0"/>
            </a:endParaRPr>
          </a:p>
        </xdr:txBody>
      </xdr:sp>
    </xdr:grpSp>
    <xdr:clientData/>
  </xdr:twoCellAnchor>
  <xdr:twoCellAnchor>
    <xdr:from>
      <xdr:col>22</xdr:col>
      <xdr:colOff>400050</xdr:colOff>
      <xdr:row>20</xdr:row>
      <xdr:rowOff>238124</xdr:rowOff>
    </xdr:from>
    <xdr:to>
      <xdr:col>30</xdr:col>
      <xdr:colOff>404813</xdr:colOff>
      <xdr:row>42</xdr:row>
      <xdr:rowOff>52387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D0941739-8E42-4C64-A05B-A9E7AE14EEA6}"/>
            </a:ext>
          </a:extLst>
        </xdr:cNvPr>
        <xdr:cNvGrpSpPr/>
      </xdr:nvGrpSpPr>
      <xdr:grpSpPr>
        <a:xfrm>
          <a:off x="15663863" y="4786312"/>
          <a:ext cx="5719763" cy="3755231"/>
          <a:chOff x="15354300" y="4738687"/>
          <a:chExt cx="5719763" cy="3755231"/>
        </a:xfrm>
      </xdr:grpSpPr>
      <xdr:grpSp>
        <xdr:nvGrpSpPr>
          <xdr:cNvPr id="19" name="Group 18">
            <a:extLst>
              <a:ext uri="{FF2B5EF4-FFF2-40B4-BE49-F238E27FC236}">
                <a16:creationId xmlns:a16="http://schemas.microsoft.com/office/drawing/2014/main" id="{8F290542-5715-4919-BF2C-74D56065CEA6}"/>
              </a:ext>
            </a:extLst>
          </xdr:cNvPr>
          <xdr:cNvGrpSpPr/>
        </xdr:nvGrpSpPr>
        <xdr:grpSpPr>
          <a:xfrm>
            <a:off x="15354300" y="4738687"/>
            <a:ext cx="5719763" cy="3755231"/>
            <a:chOff x="15354300" y="4738687"/>
            <a:chExt cx="5719763" cy="3755231"/>
          </a:xfrm>
        </xdr:grpSpPr>
        <xdr:graphicFrame macro="">
          <xdr:nvGraphicFramePr>
            <xdr:cNvPr id="69" name="Chart 68">
              <a:extLst>
                <a:ext uri="{FF2B5EF4-FFF2-40B4-BE49-F238E27FC236}">
                  <a16:creationId xmlns:a16="http://schemas.microsoft.com/office/drawing/2014/main" id="{1E7548F8-1349-4A44-8627-4B9128E619DF}"/>
                </a:ext>
              </a:extLst>
            </xdr:cNvPr>
            <xdr:cNvGraphicFramePr>
              <a:graphicFrameLocks/>
            </xdr:cNvGraphicFramePr>
          </xdr:nvGraphicFramePr>
          <xdr:xfrm>
            <a:off x="15354300" y="4738687"/>
            <a:ext cx="5719763" cy="375523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sp macro="" textlink="">
          <xdr:nvSpPr>
            <xdr:cNvPr id="74" name="Rectangle 73">
              <a:extLst>
                <a:ext uri="{FF2B5EF4-FFF2-40B4-BE49-F238E27FC236}">
                  <a16:creationId xmlns:a16="http://schemas.microsoft.com/office/drawing/2014/main" id="{50830D47-8C73-4CCA-B115-464568122B6C}"/>
                </a:ext>
              </a:extLst>
            </xdr:cNvPr>
            <xdr:cNvSpPr/>
          </xdr:nvSpPr>
          <xdr:spPr>
            <a:xfrm>
              <a:off x="15359062" y="7750969"/>
              <a:ext cx="5715000" cy="535781"/>
            </a:xfrm>
            <a:prstGeom prst="rect">
              <a:avLst/>
            </a:prstGeom>
            <a:solidFill>
              <a:srgbClr val="0066FF"/>
            </a:solidFill>
            <a:scene3d>
              <a:camera prst="orthographicFront"/>
              <a:lightRig rig="soft" dir="t">
                <a:rot lat="0" lon="0" rev="15600000"/>
              </a:lightRig>
            </a:scene3d>
            <a:sp3d>
              <a:bevelT prst="angle"/>
            </a:sp3d>
          </xdr:spPr>
          <xdr:txBody>
            <a:bodyPr wrap="square" lIns="91440" tIns="45720" rIns="91440" bIns="45720">
              <a:noAutofit/>
              <a:sp3d extrusionH="57150" prstMaterial="softEdge">
                <a:bevelT w="25400" h="38100"/>
              </a:sp3d>
            </a:bodyPr>
            <a:lstStyle/>
            <a:p>
              <a:pPr marL="0" indent="0" algn="ctr"/>
              <a:r>
                <a:rPr lang="en-US" sz="2800" b="1" cap="none" spc="0">
                  <a:ln/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YEAR 2 PROOFS</a:t>
              </a:r>
            </a:p>
          </xdr:txBody>
        </xdr:sp>
      </xdr:grpSp>
      <xdr:sp macro="" textlink="AH20">
        <xdr:nvSpPr>
          <xdr:cNvPr id="27" name="Oval 26">
            <a:extLst>
              <a:ext uri="{FF2B5EF4-FFF2-40B4-BE49-F238E27FC236}">
                <a16:creationId xmlns:a16="http://schemas.microsoft.com/office/drawing/2014/main" id="{19405608-B9D2-4AD6-8A67-74226CBC562F}"/>
              </a:ext>
            </a:extLst>
          </xdr:cNvPr>
          <xdr:cNvSpPr/>
        </xdr:nvSpPr>
        <xdr:spPr>
          <a:xfrm>
            <a:off x="16085343" y="5891214"/>
            <a:ext cx="2952750" cy="1463040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fld id="{A15B04C4-C285-405B-8447-CA920EF137D7}" type="TxLink">
              <a:rPr lang="en-US" sz="2400" b="1" i="0" u="none" strike="noStrike">
                <a:solidFill>
                  <a:srgbClr val="000000"/>
                </a:solidFill>
                <a:latin typeface="Century Schoolbook" panose="02040604050505020304" pitchFamily="18" charset="0"/>
                <a:ea typeface="+mn-ea"/>
                <a:cs typeface="Calibri"/>
              </a:rPr>
              <a:pPr marL="0" indent="0" algn="ctr"/>
              <a:t>0.0%</a:t>
            </a:fld>
            <a:endParaRPr lang="en-US" sz="2400" b="1" i="0" u="none" strike="noStrike">
              <a:solidFill>
                <a:srgbClr val="000000"/>
              </a:solidFill>
              <a:latin typeface="Century Schoolbook" panose="02040604050505020304" pitchFamily="18" charset="0"/>
              <a:ea typeface="+mn-ea"/>
              <a:cs typeface="Calibri"/>
            </a:endParaRPr>
          </a:p>
        </xdr:txBody>
      </xdr:sp>
    </xdr:grpSp>
    <xdr:clientData/>
  </xdr:twoCellAnchor>
  <xdr:twoCellAnchor>
    <xdr:from>
      <xdr:col>13</xdr:col>
      <xdr:colOff>382965</xdr:colOff>
      <xdr:row>43</xdr:row>
      <xdr:rowOff>159021</xdr:rowOff>
    </xdr:from>
    <xdr:to>
      <xdr:col>21</xdr:col>
      <xdr:colOff>406590</xdr:colOff>
      <xdr:row>68</xdr:row>
      <xdr:rowOff>14570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AD40F6FD-B4D7-4C8D-9701-20C154AC14DD}"/>
            </a:ext>
          </a:extLst>
        </xdr:cNvPr>
        <xdr:cNvGrpSpPr/>
      </xdr:nvGrpSpPr>
      <xdr:grpSpPr>
        <a:xfrm>
          <a:off x="9217403" y="8838677"/>
          <a:ext cx="5738625" cy="3772706"/>
          <a:chOff x="8963126" y="8838677"/>
          <a:chExt cx="5729186" cy="3772706"/>
        </a:xfrm>
      </xdr:grpSpPr>
      <xdr:grpSp>
        <xdr:nvGrpSpPr>
          <xdr:cNvPr id="77" name="Group 76">
            <a:extLst>
              <a:ext uri="{FF2B5EF4-FFF2-40B4-BE49-F238E27FC236}">
                <a16:creationId xmlns:a16="http://schemas.microsoft.com/office/drawing/2014/main" id="{53292663-85E4-42B0-9FE0-56664BDF58F8}"/>
              </a:ext>
            </a:extLst>
          </xdr:cNvPr>
          <xdr:cNvGrpSpPr/>
        </xdr:nvGrpSpPr>
        <xdr:grpSpPr>
          <a:xfrm>
            <a:off x="8963126" y="8838677"/>
            <a:ext cx="5729186" cy="3772706"/>
            <a:chOff x="9211788" y="8072033"/>
            <a:chExt cx="5696845" cy="3803380"/>
          </a:xfrm>
        </xdr:grpSpPr>
        <xdr:graphicFrame macro="">
          <xdr:nvGraphicFramePr>
            <xdr:cNvPr id="70" name="Chart 69">
              <a:extLst>
                <a:ext uri="{FF2B5EF4-FFF2-40B4-BE49-F238E27FC236}">
                  <a16:creationId xmlns:a16="http://schemas.microsoft.com/office/drawing/2014/main" id="{5541F4FE-0786-435D-AADC-E3B8EDBF3AF8}"/>
                </a:ext>
              </a:extLst>
            </xdr:cNvPr>
            <xdr:cNvGraphicFramePr>
              <a:graphicFrameLocks/>
            </xdr:cNvGraphicFramePr>
          </xdr:nvGraphicFramePr>
          <xdr:xfrm>
            <a:off x="9219394" y="8072033"/>
            <a:ext cx="5687475" cy="380338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sp macro="" textlink="">
          <xdr:nvSpPr>
            <xdr:cNvPr id="75" name="Rectangle 74">
              <a:extLst>
                <a:ext uri="{FF2B5EF4-FFF2-40B4-BE49-F238E27FC236}">
                  <a16:creationId xmlns:a16="http://schemas.microsoft.com/office/drawing/2014/main" id="{E9CFBDE1-49CF-409C-BC8F-4E62EB47FA1A}"/>
                </a:ext>
              </a:extLst>
            </xdr:cNvPr>
            <xdr:cNvSpPr/>
          </xdr:nvSpPr>
          <xdr:spPr>
            <a:xfrm>
              <a:off x="9211788" y="11129511"/>
              <a:ext cx="5696845" cy="543882"/>
            </a:xfrm>
            <a:prstGeom prst="rect">
              <a:avLst/>
            </a:prstGeom>
            <a:solidFill>
              <a:srgbClr val="CC0099"/>
            </a:solidFill>
            <a:scene3d>
              <a:camera prst="orthographicFront"/>
              <a:lightRig rig="soft" dir="t">
                <a:rot lat="0" lon="0" rev="15600000"/>
              </a:lightRig>
            </a:scene3d>
            <a:sp3d>
              <a:bevelT prst="angle"/>
            </a:sp3d>
          </xdr:spPr>
          <xdr:txBody>
            <a:bodyPr wrap="square" lIns="91440" tIns="45720" rIns="91440" bIns="45720">
              <a:noAutofit/>
              <a:sp3d extrusionH="57150" prstMaterial="softEdge">
                <a:bevelT w="25400" h="38100"/>
              </a:sp3d>
            </a:bodyPr>
            <a:lstStyle/>
            <a:p>
              <a:pPr marL="0" indent="0" algn="ctr"/>
              <a:r>
                <a:rPr lang="en-US" sz="2800" b="1" cap="none" spc="0">
                  <a:ln/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YEAR 3 PROOFS</a:t>
              </a:r>
            </a:p>
          </xdr:txBody>
        </xdr:sp>
      </xdr:grpSp>
      <xdr:sp macro="" textlink="AP20">
        <xdr:nvSpPr>
          <xdr:cNvPr id="28" name="Oval 27">
            <a:extLst>
              <a:ext uri="{FF2B5EF4-FFF2-40B4-BE49-F238E27FC236}">
                <a16:creationId xmlns:a16="http://schemas.microsoft.com/office/drawing/2014/main" id="{584312F6-36CD-4732-BD27-D01C65CBA679}"/>
              </a:ext>
            </a:extLst>
          </xdr:cNvPr>
          <xdr:cNvSpPr/>
        </xdr:nvSpPr>
        <xdr:spPr>
          <a:xfrm>
            <a:off x="9674364" y="10001252"/>
            <a:ext cx="3007326" cy="1463040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fld id="{79774499-3345-4F11-B590-6324AE117E10}" type="TxLink">
              <a:rPr lang="en-US" sz="2400" b="1" i="0" u="none" strike="noStrike">
                <a:solidFill>
                  <a:srgbClr val="000000"/>
                </a:solidFill>
                <a:latin typeface="Century Schoolbook" panose="02040604050505020304" pitchFamily="18" charset="0"/>
                <a:ea typeface="+mn-ea"/>
                <a:cs typeface="Calibri"/>
              </a:rPr>
              <a:pPr marL="0" indent="0" algn="ctr"/>
              <a:t>0.0%</a:t>
            </a:fld>
            <a:endParaRPr lang="en-US" sz="2400" b="1" i="0" u="none" strike="noStrike">
              <a:solidFill>
                <a:srgbClr val="000000"/>
              </a:solidFill>
              <a:latin typeface="Century Schoolbook" panose="02040604050505020304" pitchFamily="18" charset="0"/>
              <a:ea typeface="+mn-ea"/>
              <a:cs typeface="Calibri"/>
            </a:endParaRPr>
          </a:p>
        </xdr:txBody>
      </xdr:sp>
    </xdr:grpSp>
    <xdr:clientData/>
  </xdr:twoCellAnchor>
  <xdr:twoCellAnchor>
    <xdr:from>
      <xdr:col>22</xdr:col>
      <xdr:colOff>370048</xdr:colOff>
      <xdr:row>43</xdr:row>
      <xdr:rowOff>144732</xdr:rowOff>
    </xdr:from>
    <xdr:to>
      <xdr:col>30</xdr:col>
      <xdr:colOff>378973</xdr:colOff>
      <xdr:row>68</xdr:row>
      <xdr:rowOff>281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FA2203F7-EE4C-4DFC-921A-37DF826FF398}"/>
            </a:ext>
          </a:extLst>
        </xdr:cNvPr>
        <xdr:cNvGrpSpPr/>
      </xdr:nvGrpSpPr>
      <xdr:grpSpPr>
        <a:xfrm>
          <a:off x="15633861" y="8824388"/>
          <a:ext cx="5723925" cy="3772706"/>
          <a:chOff x="15372940" y="8824388"/>
          <a:chExt cx="5724144" cy="3772706"/>
        </a:xfrm>
      </xdr:grpSpPr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F2B4137F-1991-4F6F-9585-9C282DE94119}"/>
              </a:ext>
            </a:extLst>
          </xdr:cNvPr>
          <xdr:cNvGrpSpPr/>
        </xdr:nvGrpSpPr>
        <xdr:grpSpPr>
          <a:xfrm>
            <a:off x="15372940" y="8824388"/>
            <a:ext cx="5724144" cy="3772706"/>
            <a:chOff x="15373957" y="8824388"/>
            <a:chExt cx="5724363" cy="3772706"/>
          </a:xfrm>
        </xdr:grpSpPr>
        <xdr:graphicFrame macro="">
          <xdr:nvGraphicFramePr>
            <xdr:cNvPr id="71" name="Chart 70">
              <a:extLst>
                <a:ext uri="{FF2B5EF4-FFF2-40B4-BE49-F238E27FC236}">
                  <a16:creationId xmlns:a16="http://schemas.microsoft.com/office/drawing/2014/main" id="{07BB6C87-A56D-4047-9EF2-D7A799362EED}"/>
                </a:ext>
              </a:extLst>
            </xdr:cNvPr>
            <xdr:cNvGraphicFramePr>
              <a:graphicFrameLocks/>
            </xdr:cNvGraphicFramePr>
          </xdr:nvGraphicFramePr>
          <xdr:xfrm>
            <a:off x="15373957" y="8824388"/>
            <a:ext cx="5719737" cy="377270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76" name="Rectangle 75">
              <a:extLst>
                <a:ext uri="{FF2B5EF4-FFF2-40B4-BE49-F238E27FC236}">
                  <a16:creationId xmlns:a16="http://schemas.microsoft.com/office/drawing/2014/main" id="{C3605ACC-E433-4436-B264-FA1F50CF5961}"/>
                </a:ext>
              </a:extLst>
            </xdr:cNvPr>
            <xdr:cNvSpPr/>
          </xdr:nvSpPr>
          <xdr:spPr>
            <a:xfrm>
              <a:off x="15372940" y="11871574"/>
              <a:ext cx="5724144" cy="539496"/>
            </a:xfrm>
            <a:prstGeom prst="rect">
              <a:avLst/>
            </a:prstGeom>
            <a:solidFill>
              <a:srgbClr val="006699"/>
            </a:solidFill>
            <a:scene3d>
              <a:camera prst="orthographicFront"/>
              <a:lightRig rig="soft" dir="t">
                <a:rot lat="0" lon="0" rev="15600000"/>
              </a:lightRig>
            </a:scene3d>
            <a:sp3d>
              <a:bevelT prst="angle"/>
            </a:sp3d>
          </xdr:spPr>
          <xdr:txBody>
            <a:bodyPr wrap="square" lIns="91440" tIns="45720" rIns="91440" bIns="45720">
              <a:noAutofit/>
              <a:sp3d extrusionH="57150" prstMaterial="softEdge">
                <a:bevelT w="25400" h="38100"/>
              </a:sp3d>
            </a:bodyPr>
            <a:lstStyle/>
            <a:p>
              <a:pPr marL="0" indent="0" algn="ctr"/>
              <a:r>
                <a:rPr lang="en-US" sz="2800" b="1" cap="none" spc="0">
                  <a:ln/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YEAR 4 PROOFS</a:t>
              </a:r>
            </a:p>
          </xdr:txBody>
        </xdr:sp>
      </xdr:grpSp>
      <xdr:sp macro="" textlink="AX20">
        <xdr:nvSpPr>
          <xdr:cNvPr id="29" name="Oval 28">
            <a:extLst>
              <a:ext uri="{FF2B5EF4-FFF2-40B4-BE49-F238E27FC236}">
                <a16:creationId xmlns:a16="http://schemas.microsoft.com/office/drawing/2014/main" id="{79719BFD-7BE8-4B5E-8F03-272F7BDA80DE}"/>
              </a:ext>
            </a:extLst>
          </xdr:cNvPr>
          <xdr:cNvSpPr/>
        </xdr:nvSpPr>
        <xdr:spPr>
          <a:xfrm>
            <a:off x="16086386" y="9986963"/>
            <a:ext cx="3000490" cy="1463040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fld id="{67B36904-CF74-47C0-B393-51E476631289}" type="TxLink">
              <a:rPr lang="en-US" sz="2400" b="1" i="0" u="none" strike="noStrike">
                <a:solidFill>
                  <a:srgbClr val="000000"/>
                </a:solidFill>
                <a:latin typeface="Century Schoolbook" panose="02040604050505020304" pitchFamily="18" charset="0"/>
                <a:ea typeface="+mn-ea"/>
                <a:cs typeface="Calibri"/>
              </a:rPr>
              <a:pPr marL="0" indent="0" algn="ctr"/>
              <a:t>0.0%</a:t>
            </a:fld>
            <a:endParaRPr lang="en-US" sz="2400" b="1" i="0" u="none" strike="noStrike">
              <a:solidFill>
                <a:srgbClr val="000000"/>
              </a:solidFill>
              <a:latin typeface="Century Schoolbook" panose="02040604050505020304" pitchFamily="18" charset="0"/>
              <a:ea typeface="+mn-ea"/>
              <a:cs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D6BD-EED6-499C-B70B-82FF2436CD29}">
  <sheetPr>
    <tabColor rgb="FF0070C0"/>
  </sheetPr>
  <dimension ref="A1:AB262"/>
  <sheetViews>
    <sheetView tabSelected="1" topLeftCell="C1" zoomScale="90" zoomScaleNormal="90" zoomScaleSheetLayoutView="90" workbookViewId="0">
      <selection activeCell="C1" sqref="C1:E1"/>
    </sheetView>
  </sheetViews>
  <sheetFormatPr defaultColWidth="16" defaultRowHeight="15" x14ac:dyDescent="0.25"/>
  <cols>
    <col min="1" max="2" width="0" style="5" hidden="1" customWidth="1"/>
    <col min="3" max="3" width="78.42578125" style="6" customWidth="1"/>
    <col min="4" max="5" width="36.7109375" style="7" customWidth="1"/>
    <col min="6" max="6" width="27.5703125" style="69" customWidth="1"/>
    <col min="7" max="10" width="20.7109375" style="7" customWidth="1"/>
    <col min="11" max="16384" width="16" style="5"/>
  </cols>
  <sheetData>
    <row r="1" spans="1:28" ht="20.25" x14ac:dyDescent="0.25">
      <c r="A1" s="10">
        <f>COUNTA(A3:A169)</f>
        <v>167</v>
      </c>
      <c r="B1" s="11"/>
      <c r="C1" s="160" t="s">
        <v>312</v>
      </c>
      <c r="D1" s="160"/>
      <c r="E1" s="160"/>
      <c r="F1" s="161" t="s">
        <v>313</v>
      </c>
      <c r="G1" s="161"/>
      <c r="H1" s="161"/>
      <c r="I1" s="161"/>
      <c r="J1" s="161"/>
    </row>
    <row r="2" spans="1:28" ht="46.5" x14ac:dyDescent="0.3">
      <c r="A2" s="12"/>
      <c r="B2" s="13"/>
      <c r="C2" s="139" t="s">
        <v>249</v>
      </c>
      <c r="D2" s="138" t="s">
        <v>334</v>
      </c>
      <c r="E2" s="138" t="s">
        <v>339</v>
      </c>
      <c r="F2" s="137" t="s">
        <v>323</v>
      </c>
      <c r="G2" s="140" t="s">
        <v>330</v>
      </c>
      <c r="H2" s="141" t="s">
        <v>331</v>
      </c>
      <c r="I2" s="142" t="s">
        <v>332</v>
      </c>
      <c r="J2" s="143" t="s">
        <v>333</v>
      </c>
    </row>
    <row r="3" spans="1:28" ht="30" customHeight="1" x14ac:dyDescent="0.25">
      <c r="A3" s="71" t="s">
        <v>157</v>
      </c>
      <c r="B3" s="71" t="s">
        <v>158</v>
      </c>
      <c r="C3" s="90" t="s">
        <v>0</v>
      </c>
      <c r="D3" s="144" t="s">
        <v>261</v>
      </c>
      <c r="E3" s="148"/>
      <c r="F3" s="145" t="s">
        <v>309</v>
      </c>
      <c r="G3" s="146" t="s">
        <v>321</v>
      </c>
      <c r="H3" s="146" t="s">
        <v>321</v>
      </c>
      <c r="I3" s="146" t="s">
        <v>321</v>
      </c>
      <c r="J3" s="147" t="s">
        <v>321</v>
      </c>
    </row>
    <row r="4" spans="1:28" ht="30" customHeight="1" x14ac:dyDescent="0.25">
      <c r="A4" s="71" t="s">
        <v>157</v>
      </c>
      <c r="B4" s="71" t="s">
        <v>158</v>
      </c>
      <c r="C4" s="90" t="s">
        <v>1</v>
      </c>
      <c r="D4" s="144" t="s">
        <v>261</v>
      </c>
      <c r="E4" s="148"/>
      <c r="F4" s="145" t="s">
        <v>309</v>
      </c>
      <c r="G4" s="146" t="s">
        <v>321</v>
      </c>
      <c r="H4" s="146" t="s">
        <v>321</v>
      </c>
      <c r="I4" s="146" t="s">
        <v>321</v>
      </c>
      <c r="J4" s="147" t="s">
        <v>321</v>
      </c>
    </row>
    <row r="5" spans="1:28" ht="30" customHeight="1" x14ac:dyDescent="0.25">
      <c r="A5" s="71" t="s">
        <v>157</v>
      </c>
      <c r="B5" s="71" t="s">
        <v>158</v>
      </c>
      <c r="C5" s="90" t="s">
        <v>2</v>
      </c>
      <c r="D5" s="144" t="s">
        <v>261</v>
      </c>
      <c r="E5" s="148"/>
      <c r="F5" s="145" t="s">
        <v>309</v>
      </c>
      <c r="G5" s="146" t="s">
        <v>321</v>
      </c>
      <c r="H5" s="146" t="s">
        <v>321</v>
      </c>
      <c r="I5" s="146" t="s">
        <v>321</v>
      </c>
      <c r="J5" s="147" t="s">
        <v>321</v>
      </c>
    </row>
    <row r="6" spans="1:28" ht="30" customHeight="1" x14ac:dyDescent="0.25">
      <c r="A6" s="71" t="s">
        <v>157</v>
      </c>
      <c r="B6" s="71" t="s">
        <v>159</v>
      </c>
      <c r="C6" s="90" t="s">
        <v>3</v>
      </c>
      <c r="D6" s="144" t="s">
        <v>261</v>
      </c>
      <c r="E6" s="148"/>
      <c r="F6" s="145" t="s">
        <v>309</v>
      </c>
      <c r="G6" s="146" t="s">
        <v>321</v>
      </c>
      <c r="H6" s="146" t="s">
        <v>321</v>
      </c>
      <c r="I6" s="146" t="s">
        <v>321</v>
      </c>
      <c r="J6" s="147" t="s">
        <v>321</v>
      </c>
    </row>
    <row r="7" spans="1:28" ht="30" customHeight="1" x14ac:dyDescent="0.25">
      <c r="A7" s="71" t="s">
        <v>157</v>
      </c>
      <c r="B7" s="71" t="s">
        <v>159</v>
      </c>
      <c r="C7" s="90" t="s">
        <v>4</v>
      </c>
      <c r="D7" s="144" t="s">
        <v>261</v>
      </c>
      <c r="E7" s="148"/>
      <c r="F7" s="145" t="s">
        <v>309</v>
      </c>
      <c r="G7" s="146" t="s">
        <v>321</v>
      </c>
      <c r="H7" s="146" t="s">
        <v>321</v>
      </c>
      <c r="I7" s="146" t="s">
        <v>321</v>
      </c>
      <c r="J7" s="147" t="s">
        <v>321</v>
      </c>
    </row>
    <row r="8" spans="1:28" ht="30" customHeight="1" x14ac:dyDescent="0.25">
      <c r="A8" s="71" t="s">
        <v>157</v>
      </c>
      <c r="B8" s="71" t="s">
        <v>159</v>
      </c>
      <c r="C8" s="90" t="s">
        <v>5</v>
      </c>
      <c r="D8" s="144" t="s">
        <v>261</v>
      </c>
      <c r="E8" s="148"/>
      <c r="F8" s="145" t="s">
        <v>309</v>
      </c>
      <c r="G8" s="146" t="s">
        <v>321</v>
      </c>
      <c r="H8" s="146" t="s">
        <v>321</v>
      </c>
      <c r="I8" s="146" t="s">
        <v>321</v>
      </c>
      <c r="J8" s="147" t="s">
        <v>321</v>
      </c>
    </row>
    <row r="9" spans="1:28" ht="30" customHeight="1" x14ac:dyDescent="0.25">
      <c r="A9" s="71" t="s">
        <v>157</v>
      </c>
      <c r="B9" s="71" t="s">
        <v>159</v>
      </c>
      <c r="C9" s="90" t="s">
        <v>6</v>
      </c>
      <c r="D9" s="144" t="s">
        <v>261</v>
      </c>
      <c r="E9" s="148"/>
      <c r="F9" s="145" t="s">
        <v>309</v>
      </c>
      <c r="G9" s="146" t="s">
        <v>321</v>
      </c>
      <c r="H9" s="146" t="s">
        <v>321</v>
      </c>
      <c r="I9" s="146" t="s">
        <v>321</v>
      </c>
      <c r="J9" s="147" t="s">
        <v>321</v>
      </c>
      <c r="S9" s="1"/>
      <c r="AB9" s="1"/>
    </row>
    <row r="10" spans="1:28" ht="30" customHeight="1" x14ac:dyDescent="0.25">
      <c r="A10" s="71" t="s">
        <v>157</v>
      </c>
      <c r="B10" s="71" t="s">
        <v>159</v>
      </c>
      <c r="C10" s="90" t="s">
        <v>7</v>
      </c>
      <c r="D10" s="144" t="s">
        <v>261</v>
      </c>
      <c r="E10" s="148"/>
      <c r="F10" s="145" t="s">
        <v>309</v>
      </c>
      <c r="G10" s="146" t="s">
        <v>321</v>
      </c>
      <c r="H10" s="146" t="s">
        <v>321</v>
      </c>
      <c r="I10" s="146" t="s">
        <v>321</v>
      </c>
      <c r="J10" s="147" t="s">
        <v>321</v>
      </c>
    </row>
    <row r="11" spans="1:28" ht="30" customHeight="1" x14ac:dyDescent="0.25">
      <c r="A11" s="71" t="s">
        <v>157</v>
      </c>
      <c r="B11" s="71" t="s">
        <v>159</v>
      </c>
      <c r="C11" s="90" t="s">
        <v>245</v>
      </c>
      <c r="D11" s="144" t="s">
        <v>261</v>
      </c>
      <c r="E11" s="148"/>
      <c r="F11" s="145" t="s">
        <v>309</v>
      </c>
      <c r="G11" s="146" t="s">
        <v>321</v>
      </c>
      <c r="H11" s="146" t="s">
        <v>321</v>
      </c>
      <c r="I11" s="146" t="s">
        <v>321</v>
      </c>
      <c r="J11" s="147" t="s">
        <v>321</v>
      </c>
    </row>
    <row r="12" spans="1:28" ht="30" customHeight="1" x14ac:dyDescent="0.25">
      <c r="A12" s="71" t="s">
        <v>157</v>
      </c>
      <c r="B12" s="71" t="s">
        <v>159</v>
      </c>
      <c r="C12" s="90" t="s">
        <v>8</v>
      </c>
      <c r="D12" s="144" t="s">
        <v>261</v>
      </c>
      <c r="E12" s="148"/>
      <c r="F12" s="145" t="s">
        <v>309</v>
      </c>
      <c r="G12" s="146" t="s">
        <v>321</v>
      </c>
      <c r="H12" s="146" t="s">
        <v>321</v>
      </c>
      <c r="I12" s="146" t="s">
        <v>321</v>
      </c>
      <c r="J12" s="147" t="s">
        <v>321</v>
      </c>
    </row>
    <row r="13" spans="1:28" ht="30" customHeight="1" x14ac:dyDescent="0.25">
      <c r="A13" s="71" t="s">
        <v>157</v>
      </c>
      <c r="B13" s="71" t="s">
        <v>159</v>
      </c>
      <c r="C13" s="90" t="s">
        <v>250</v>
      </c>
      <c r="D13" s="144" t="s">
        <v>261</v>
      </c>
      <c r="E13" s="148"/>
      <c r="F13" s="145" t="s">
        <v>309</v>
      </c>
      <c r="G13" s="146" t="s">
        <v>321</v>
      </c>
      <c r="H13" s="146" t="s">
        <v>321</v>
      </c>
      <c r="I13" s="146" t="s">
        <v>321</v>
      </c>
      <c r="J13" s="147" t="s">
        <v>321</v>
      </c>
    </row>
    <row r="14" spans="1:28" customFormat="1" ht="30" customHeight="1" x14ac:dyDescent="0.25">
      <c r="A14" s="71" t="s">
        <v>160</v>
      </c>
      <c r="B14" s="71" t="s">
        <v>161</v>
      </c>
      <c r="C14" s="90" t="s">
        <v>248</v>
      </c>
      <c r="D14" s="144" t="s">
        <v>261</v>
      </c>
      <c r="E14" s="148"/>
      <c r="F14" s="145" t="s">
        <v>309</v>
      </c>
      <c r="G14" s="146" t="s">
        <v>321</v>
      </c>
      <c r="H14" s="146" t="s">
        <v>321</v>
      </c>
      <c r="I14" s="146" t="s">
        <v>321</v>
      </c>
      <c r="J14" s="147" t="s">
        <v>321</v>
      </c>
    </row>
    <row r="15" spans="1:28" customFormat="1" ht="30" customHeight="1" x14ac:dyDescent="0.25">
      <c r="A15" s="71" t="s">
        <v>160</v>
      </c>
      <c r="B15" s="71" t="s">
        <v>162</v>
      </c>
      <c r="C15" s="90" t="s">
        <v>335</v>
      </c>
      <c r="D15" s="144" t="s">
        <v>261</v>
      </c>
      <c r="E15" s="148"/>
      <c r="F15" s="145" t="s">
        <v>309</v>
      </c>
      <c r="G15" s="146" t="s">
        <v>321</v>
      </c>
      <c r="H15" s="146" t="s">
        <v>321</v>
      </c>
      <c r="I15" s="146" t="s">
        <v>321</v>
      </c>
      <c r="J15" s="147" t="s">
        <v>321</v>
      </c>
    </row>
    <row r="16" spans="1:28" customFormat="1" ht="30" customHeight="1" x14ac:dyDescent="0.25">
      <c r="A16" s="71" t="s">
        <v>160</v>
      </c>
      <c r="B16" s="71" t="s">
        <v>162</v>
      </c>
      <c r="C16" s="90" t="s">
        <v>9</v>
      </c>
      <c r="D16" s="144" t="s">
        <v>261</v>
      </c>
      <c r="E16" s="148"/>
      <c r="F16" s="145" t="s">
        <v>309</v>
      </c>
      <c r="G16" s="146" t="s">
        <v>321</v>
      </c>
      <c r="H16" s="146" t="s">
        <v>321</v>
      </c>
      <c r="I16" s="146" t="s">
        <v>321</v>
      </c>
      <c r="J16" s="147" t="s">
        <v>321</v>
      </c>
    </row>
    <row r="17" spans="1:10" customFormat="1" ht="30" customHeight="1" x14ac:dyDescent="0.25">
      <c r="A17" s="71" t="s">
        <v>160</v>
      </c>
      <c r="B17" s="71" t="s">
        <v>163</v>
      </c>
      <c r="C17" s="90" t="s">
        <v>10</v>
      </c>
      <c r="D17" s="144" t="s">
        <v>261</v>
      </c>
      <c r="E17" s="148"/>
      <c r="F17" s="145" t="s">
        <v>309</v>
      </c>
      <c r="G17" s="146" t="s">
        <v>321</v>
      </c>
      <c r="H17" s="146" t="s">
        <v>321</v>
      </c>
      <c r="I17" s="146" t="s">
        <v>321</v>
      </c>
      <c r="J17" s="147" t="s">
        <v>321</v>
      </c>
    </row>
    <row r="18" spans="1:10" customFormat="1" ht="30" customHeight="1" x14ac:dyDescent="0.25">
      <c r="A18" s="71" t="s">
        <v>160</v>
      </c>
      <c r="B18" s="71" t="s">
        <v>164</v>
      </c>
      <c r="C18" s="90" t="s">
        <v>11</v>
      </c>
      <c r="D18" s="144" t="s">
        <v>261</v>
      </c>
      <c r="E18" s="148"/>
      <c r="F18" s="145" t="s">
        <v>309</v>
      </c>
      <c r="G18" s="146" t="s">
        <v>321</v>
      </c>
      <c r="H18" s="146" t="s">
        <v>321</v>
      </c>
      <c r="I18" s="146" t="s">
        <v>321</v>
      </c>
      <c r="J18" s="147" t="s">
        <v>321</v>
      </c>
    </row>
    <row r="19" spans="1:10" customFormat="1" ht="30" customHeight="1" x14ac:dyDescent="0.25">
      <c r="A19" s="71" t="s">
        <v>160</v>
      </c>
      <c r="B19" s="71" t="s">
        <v>164</v>
      </c>
      <c r="C19" s="90" t="s">
        <v>12</v>
      </c>
      <c r="D19" s="144" t="s">
        <v>261</v>
      </c>
      <c r="E19" s="148"/>
      <c r="F19" s="145" t="s">
        <v>309</v>
      </c>
      <c r="G19" s="146" t="s">
        <v>321</v>
      </c>
      <c r="H19" s="146" t="s">
        <v>321</v>
      </c>
      <c r="I19" s="146" t="s">
        <v>321</v>
      </c>
      <c r="J19" s="147" t="s">
        <v>321</v>
      </c>
    </row>
    <row r="20" spans="1:10" customFormat="1" ht="30" customHeight="1" x14ac:dyDescent="0.25">
      <c r="A20" s="71" t="s">
        <v>160</v>
      </c>
      <c r="B20" s="71" t="s">
        <v>165</v>
      </c>
      <c r="C20" s="90" t="s">
        <v>13</v>
      </c>
      <c r="D20" s="144" t="s">
        <v>261</v>
      </c>
      <c r="E20" s="148"/>
      <c r="F20" s="145" t="s">
        <v>309</v>
      </c>
      <c r="G20" s="146" t="s">
        <v>321</v>
      </c>
      <c r="H20" s="146" t="s">
        <v>321</v>
      </c>
      <c r="I20" s="146" t="s">
        <v>321</v>
      </c>
      <c r="J20" s="147" t="s">
        <v>321</v>
      </c>
    </row>
    <row r="21" spans="1:10" customFormat="1" ht="30" customHeight="1" x14ac:dyDescent="0.25">
      <c r="A21" s="71" t="s">
        <v>160</v>
      </c>
      <c r="B21" s="71" t="s">
        <v>165</v>
      </c>
      <c r="C21" s="90" t="s">
        <v>14</v>
      </c>
      <c r="D21" s="144" t="s">
        <v>261</v>
      </c>
      <c r="E21" s="148"/>
      <c r="F21" s="145" t="s">
        <v>309</v>
      </c>
      <c r="G21" s="146" t="s">
        <v>321</v>
      </c>
      <c r="H21" s="146" t="s">
        <v>321</v>
      </c>
      <c r="I21" s="146" t="s">
        <v>321</v>
      </c>
      <c r="J21" s="147" t="s">
        <v>321</v>
      </c>
    </row>
    <row r="22" spans="1:10" customFormat="1" ht="30" customHeight="1" x14ac:dyDescent="0.25">
      <c r="A22" s="71" t="s">
        <v>160</v>
      </c>
      <c r="B22" s="71" t="s">
        <v>166</v>
      </c>
      <c r="C22" s="90" t="s">
        <v>15</v>
      </c>
      <c r="D22" s="144" t="s">
        <v>261</v>
      </c>
      <c r="E22" s="148"/>
      <c r="F22" s="145" t="s">
        <v>309</v>
      </c>
      <c r="G22" s="146" t="s">
        <v>321</v>
      </c>
      <c r="H22" s="146" t="s">
        <v>321</v>
      </c>
      <c r="I22" s="146" t="s">
        <v>321</v>
      </c>
      <c r="J22" s="147" t="s">
        <v>321</v>
      </c>
    </row>
    <row r="23" spans="1:10" customFormat="1" ht="30" customHeight="1" x14ac:dyDescent="0.25">
      <c r="A23" s="71" t="s">
        <v>160</v>
      </c>
      <c r="B23" s="71" t="s">
        <v>167</v>
      </c>
      <c r="C23" s="90" t="s">
        <v>16</v>
      </c>
      <c r="D23" s="144" t="s">
        <v>261</v>
      </c>
      <c r="E23" s="148"/>
      <c r="F23" s="145" t="s">
        <v>309</v>
      </c>
      <c r="G23" s="146" t="s">
        <v>321</v>
      </c>
      <c r="H23" s="146" t="s">
        <v>321</v>
      </c>
      <c r="I23" s="146" t="s">
        <v>321</v>
      </c>
      <c r="J23" s="147" t="s">
        <v>321</v>
      </c>
    </row>
    <row r="24" spans="1:10" customFormat="1" ht="30" customHeight="1" x14ac:dyDescent="0.25">
      <c r="A24" s="71" t="s">
        <v>160</v>
      </c>
      <c r="B24" s="71" t="s">
        <v>168</v>
      </c>
      <c r="C24" s="90" t="s">
        <v>17</v>
      </c>
      <c r="D24" s="144" t="s">
        <v>261</v>
      </c>
      <c r="E24" s="148"/>
      <c r="F24" s="145" t="s">
        <v>309</v>
      </c>
      <c r="G24" s="146" t="s">
        <v>321</v>
      </c>
      <c r="H24" s="146" t="s">
        <v>321</v>
      </c>
      <c r="I24" s="146" t="s">
        <v>321</v>
      </c>
      <c r="J24" s="147" t="s">
        <v>321</v>
      </c>
    </row>
    <row r="25" spans="1:10" customFormat="1" ht="30" customHeight="1" x14ac:dyDescent="0.25">
      <c r="A25" s="71" t="s">
        <v>160</v>
      </c>
      <c r="B25" s="71" t="s">
        <v>168</v>
      </c>
      <c r="C25" s="90" t="s">
        <v>18</v>
      </c>
      <c r="D25" s="144" t="s">
        <v>261</v>
      </c>
      <c r="E25" s="148"/>
      <c r="F25" s="145" t="s">
        <v>309</v>
      </c>
      <c r="G25" s="146" t="s">
        <v>321</v>
      </c>
      <c r="H25" s="146" t="s">
        <v>321</v>
      </c>
      <c r="I25" s="146" t="s">
        <v>321</v>
      </c>
      <c r="J25" s="147" t="s">
        <v>321</v>
      </c>
    </row>
    <row r="26" spans="1:10" customFormat="1" ht="30" customHeight="1" x14ac:dyDescent="0.25">
      <c r="A26" s="71" t="s">
        <v>160</v>
      </c>
      <c r="B26" s="71" t="s">
        <v>169</v>
      </c>
      <c r="C26" s="90" t="s">
        <v>19</v>
      </c>
      <c r="D26" s="144" t="s">
        <v>261</v>
      </c>
      <c r="E26" s="148"/>
      <c r="F26" s="145" t="s">
        <v>309</v>
      </c>
      <c r="G26" s="146" t="s">
        <v>321</v>
      </c>
      <c r="H26" s="146" t="s">
        <v>321</v>
      </c>
      <c r="I26" s="146" t="s">
        <v>321</v>
      </c>
      <c r="J26" s="147" t="s">
        <v>321</v>
      </c>
    </row>
    <row r="27" spans="1:10" customFormat="1" ht="30" customHeight="1" x14ac:dyDescent="0.25">
      <c r="A27" s="71" t="s">
        <v>160</v>
      </c>
      <c r="B27" s="71" t="s">
        <v>170</v>
      </c>
      <c r="C27" s="90" t="s">
        <v>20</v>
      </c>
      <c r="D27" s="144" t="s">
        <v>261</v>
      </c>
      <c r="E27" s="148"/>
      <c r="F27" s="145" t="s">
        <v>309</v>
      </c>
      <c r="G27" s="146" t="s">
        <v>321</v>
      </c>
      <c r="H27" s="146" t="s">
        <v>321</v>
      </c>
      <c r="I27" s="146" t="s">
        <v>321</v>
      </c>
      <c r="J27" s="147" t="s">
        <v>321</v>
      </c>
    </row>
    <row r="28" spans="1:10" customFormat="1" ht="30" customHeight="1" x14ac:dyDescent="0.25">
      <c r="A28" s="71" t="s">
        <v>171</v>
      </c>
      <c r="B28" s="71" t="s">
        <v>172</v>
      </c>
      <c r="C28" s="90" t="s">
        <v>21</v>
      </c>
      <c r="D28" s="144" t="s">
        <v>261</v>
      </c>
      <c r="E28" s="148"/>
      <c r="F28" s="145" t="s">
        <v>309</v>
      </c>
      <c r="G28" s="146" t="s">
        <v>321</v>
      </c>
      <c r="H28" s="146" t="s">
        <v>321</v>
      </c>
      <c r="I28" s="146" t="s">
        <v>321</v>
      </c>
      <c r="J28" s="147" t="s">
        <v>321</v>
      </c>
    </row>
    <row r="29" spans="1:10" customFormat="1" ht="30" customHeight="1" x14ac:dyDescent="0.25">
      <c r="A29" s="71" t="s">
        <v>171</v>
      </c>
      <c r="B29" s="71" t="s">
        <v>173</v>
      </c>
      <c r="C29" s="90" t="s">
        <v>22</v>
      </c>
      <c r="D29" s="144" t="s">
        <v>261</v>
      </c>
      <c r="E29" s="148"/>
      <c r="F29" s="145" t="s">
        <v>309</v>
      </c>
      <c r="G29" s="146" t="s">
        <v>321</v>
      </c>
      <c r="H29" s="146" t="s">
        <v>321</v>
      </c>
      <c r="I29" s="146" t="s">
        <v>321</v>
      </c>
      <c r="J29" s="147" t="s">
        <v>321</v>
      </c>
    </row>
    <row r="30" spans="1:10" customFormat="1" ht="30" customHeight="1" x14ac:dyDescent="0.25">
      <c r="A30" s="71" t="s">
        <v>171</v>
      </c>
      <c r="B30" s="71" t="s">
        <v>173</v>
      </c>
      <c r="C30" s="90" t="s">
        <v>23</v>
      </c>
      <c r="D30" s="144" t="s">
        <v>261</v>
      </c>
      <c r="E30" s="148"/>
      <c r="F30" s="145" t="s">
        <v>309</v>
      </c>
      <c r="G30" s="146" t="s">
        <v>321</v>
      </c>
      <c r="H30" s="146" t="s">
        <v>321</v>
      </c>
      <c r="I30" s="146" t="s">
        <v>321</v>
      </c>
      <c r="J30" s="147" t="s">
        <v>321</v>
      </c>
    </row>
    <row r="31" spans="1:10" customFormat="1" ht="30" customHeight="1" x14ac:dyDescent="0.25">
      <c r="A31" s="71" t="s">
        <v>171</v>
      </c>
      <c r="B31" s="71" t="s">
        <v>173</v>
      </c>
      <c r="C31" s="90" t="s">
        <v>251</v>
      </c>
      <c r="D31" s="144" t="s">
        <v>261</v>
      </c>
      <c r="E31" s="148"/>
      <c r="F31" s="145" t="s">
        <v>309</v>
      </c>
      <c r="G31" s="146" t="s">
        <v>321</v>
      </c>
      <c r="H31" s="146" t="s">
        <v>321</v>
      </c>
      <c r="I31" s="146" t="s">
        <v>321</v>
      </c>
      <c r="J31" s="147" t="s">
        <v>321</v>
      </c>
    </row>
    <row r="32" spans="1:10" customFormat="1" ht="30" customHeight="1" x14ac:dyDescent="0.25">
      <c r="A32" s="71" t="s">
        <v>171</v>
      </c>
      <c r="B32" s="71" t="s">
        <v>174</v>
      </c>
      <c r="C32" s="90" t="s">
        <v>336</v>
      </c>
      <c r="D32" s="144" t="s">
        <v>261</v>
      </c>
      <c r="E32" s="148"/>
      <c r="F32" s="145" t="s">
        <v>309</v>
      </c>
      <c r="G32" s="146" t="s">
        <v>321</v>
      </c>
      <c r="H32" s="146" t="s">
        <v>321</v>
      </c>
      <c r="I32" s="146" t="s">
        <v>321</v>
      </c>
      <c r="J32" s="147" t="s">
        <v>321</v>
      </c>
    </row>
    <row r="33" spans="1:10" customFormat="1" ht="30" customHeight="1" x14ac:dyDescent="0.25">
      <c r="A33" s="71" t="s">
        <v>171</v>
      </c>
      <c r="B33" s="71" t="s">
        <v>174</v>
      </c>
      <c r="C33" s="90" t="s">
        <v>24</v>
      </c>
      <c r="D33" s="144" t="s">
        <v>261</v>
      </c>
      <c r="E33" s="148"/>
      <c r="F33" s="145" t="s">
        <v>309</v>
      </c>
      <c r="G33" s="146" t="s">
        <v>321</v>
      </c>
      <c r="H33" s="146" t="s">
        <v>321</v>
      </c>
      <c r="I33" s="146" t="s">
        <v>321</v>
      </c>
      <c r="J33" s="147" t="s">
        <v>321</v>
      </c>
    </row>
    <row r="34" spans="1:10" customFormat="1" ht="30" customHeight="1" x14ac:dyDescent="0.25">
      <c r="A34" s="71" t="s">
        <v>171</v>
      </c>
      <c r="B34" s="71" t="s">
        <v>175</v>
      </c>
      <c r="C34" s="90" t="s">
        <v>25</v>
      </c>
      <c r="D34" s="144" t="s">
        <v>261</v>
      </c>
      <c r="E34" s="148"/>
      <c r="F34" s="145" t="s">
        <v>309</v>
      </c>
      <c r="G34" s="146" t="s">
        <v>321</v>
      </c>
      <c r="H34" s="146" t="s">
        <v>321</v>
      </c>
      <c r="I34" s="146" t="s">
        <v>321</v>
      </c>
      <c r="J34" s="147" t="s">
        <v>321</v>
      </c>
    </row>
    <row r="35" spans="1:10" customFormat="1" ht="30" customHeight="1" x14ac:dyDescent="0.25">
      <c r="A35" s="71" t="s">
        <v>171</v>
      </c>
      <c r="B35" s="71" t="s">
        <v>176</v>
      </c>
      <c r="C35" s="90" t="s">
        <v>26</v>
      </c>
      <c r="D35" s="144" t="s">
        <v>261</v>
      </c>
      <c r="E35" s="148"/>
      <c r="F35" s="145" t="s">
        <v>309</v>
      </c>
      <c r="G35" s="146" t="s">
        <v>321</v>
      </c>
      <c r="H35" s="146" t="s">
        <v>321</v>
      </c>
      <c r="I35" s="146" t="s">
        <v>321</v>
      </c>
      <c r="J35" s="147" t="s">
        <v>321</v>
      </c>
    </row>
    <row r="36" spans="1:10" customFormat="1" ht="30" customHeight="1" x14ac:dyDescent="0.25">
      <c r="A36" s="71" t="s">
        <v>177</v>
      </c>
      <c r="B36" s="71" t="s">
        <v>178</v>
      </c>
      <c r="C36" s="90" t="s">
        <v>27</v>
      </c>
      <c r="D36" s="144" t="s">
        <v>261</v>
      </c>
      <c r="E36" s="148"/>
      <c r="F36" s="145" t="s">
        <v>309</v>
      </c>
      <c r="G36" s="146" t="s">
        <v>321</v>
      </c>
      <c r="H36" s="146" t="s">
        <v>321</v>
      </c>
      <c r="I36" s="146" t="s">
        <v>321</v>
      </c>
      <c r="J36" s="147" t="s">
        <v>321</v>
      </c>
    </row>
    <row r="37" spans="1:10" customFormat="1" ht="30" customHeight="1" x14ac:dyDescent="0.25">
      <c r="A37" s="71" t="s">
        <v>177</v>
      </c>
      <c r="B37" s="71" t="s">
        <v>178</v>
      </c>
      <c r="C37" s="90" t="s">
        <v>28</v>
      </c>
      <c r="D37" s="144" t="s">
        <v>261</v>
      </c>
      <c r="E37" s="148"/>
      <c r="F37" s="145" t="s">
        <v>309</v>
      </c>
      <c r="G37" s="146" t="s">
        <v>321</v>
      </c>
      <c r="H37" s="146" t="s">
        <v>321</v>
      </c>
      <c r="I37" s="146" t="s">
        <v>321</v>
      </c>
      <c r="J37" s="147" t="s">
        <v>321</v>
      </c>
    </row>
    <row r="38" spans="1:10" customFormat="1" ht="30" customHeight="1" x14ac:dyDescent="0.25">
      <c r="A38" s="71" t="s">
        <v>177</v>
      </c>
      <c r="B38" s="71" t="s">
        <v>178</v>
      </c>
      <c r="C38" s="90" t="s">
        <v>29</v>
      </c>
      <c r="D38" s="144" t="s">
        <v>261</v>
      </c>
      <c r="E38" s="148"/>
      <c r="F38" s="145" t="s">
        <v>309</v>
      </c>
      <c r="G38" s="146" t="s">
        <v>321</v>
      </c>
      <c r="H38" s="146" t="s">
        <v>321</v>
      </c>
      <c r="I38" s="146" t="s">
        <v>321</v>
      </c>
      <c r="J38" s="147" t="s">
        <v>321</v>
      </c>
    </row>
    <row r="39" spans="1:10" customFormat="1" ht="30" customHeight="1" x14ac:dyDescent="0.25">
      <c r="A39" s="71" t="s">
        <v>177</v>
      </c>
      <c r="B39" s="71" t="s">
        <v>178</v>
      </c>
      <c r="C39" s="90" t="s">
        <v>337</v>
      </c>
      <c r="D39" s="144" t="s">
        <v>261</v>
      </c>
      <c r="E39" s="148"/>
      <c r="F39" s="145" t="s">
        <v>309</v>
      </c>
      <c r="G39" s="146" t="s">
        <v>321</v>
      </c>
      <c r="H39" s="146" t="s">
        <v>321</v>
      </c>
      <c r="I39" s="146" t="s">
        <v>321</v>
      </c>
      <c r="J39" s="147" t="s">
        <v>321</v>
      </c>
    </row>
    <row r="40" spans="1:10" customFormat="1" ht="30" customHeight="1" x14ac:dyDescent="0.25">
      <c r="A40" s="71" t="s">
        <v>179</v>
      </c>
      <c r="B40" s="71" t="s">
        <v>180</v>
      </c>
      <c r="C40" s="90" t="s">
        <v>30</v>
      </c>
      <c r="D40" s="144" t="s">
        <v>261</v>
      </c>
      <c r="E40" s="148"/>
      <c r="F40" s="145" t="s">
        <v>309</v>
      </c>
      <c r="G40" s="146" t="s">
        <v>321</v>
      </c>
      <c r="H40" s="146" t="s">
        <v>321</v>
      </c>
      <c r="I40" s="146" t="s">
        <v>321</v>
      </c>
      <c r="J40" s="147" t="s">
        <v>321</v>
      </c>
    </row>
    <row r="41" spans="1:10" customFormat="1" ht="30" customHeight="1" x14ac:dyDescent="0.25">
      <c r="A41" s="71" t="s">
        <v>179</v>
      </c>
      <c r="B41" s="71" t="s">
        <v>180</v>
      </c>
      <c r="C41" s="90" t="s">
        <v>31</v>
      </c>
      <c r="D41" s="144" t="s">
        <v>261</v>
      </c>
      <c r="E41" s="148"/>
      <c r="F41" s="145" t="s">
        <v>309</v>
      </c>
      <c r="G41" s="146" t="s">
        <v>321</v>
      </c>
      <c r="H41" s="146" t="s">
        <v>321</v>
      </c>
      <c r="I41" s="146" t="s">
        <v>321</v>
      </c>
      <c r="J41" s="147" t="s">
        <v>321</v>
      </c>
    </row>
    <row r="42" spans="1:10" customFormat="1" ht="30" customHeight="1" x14ac:dyDescent="0.25">
      <c r="A42" s="71" t="s">
        <v>179</v>
      </c>
      <c r="B42" s="71" t="s">
        <v>180</v>
      </c>
      <c r="C42" s="90" t="s">
        <v>32</v>
      </c>
      <c r="D42" s="144" t="s">
        <v>261</v>
      </c>
      <c r="E42" s="148"/>
      <c r="F42" s="145" t="s">
        <v>309</v>
      </c>
      <c r="G42" s="146" t="s">
        <v>321</v>
      </c>
      <c r="H42" s="146" t="s">
        <v>321</v>
      </c>
      <c r="I42" s="146" t="s">
        <v>321</v>
      </c>
      <c r="J42" s="147" t="s">
        <v>321</v>
      </c>
    </row>
    <row r="43" spans="1:10" customFormat="1" ht="30" customHeight="1" x14ac:dyDescent="0.25">
      <c r="A43" s="71" t="s">
        <v>179</v>
      </c>
      <c r="B43" s="71" t="s">
        <v>180</v>
      </c>
      <c r="C43" s="90" t="s">
        <v>33</v>
      </c>
      <c r="D43" s="144" t="s">
        <v>261</v>
      </c>
      <c r="E43" s="148"/>
      <c r="F43" s="145" t="s">
        <v>309</v>
      </c>
      <c r="G43" s="146" t="s">
        <v>321</v>
      </c>
      <c r="H43" s="146" t="s">
        <v>321</v>
      </c>
      <c r="I43" s="146" t="s">
        <v>321</v>
      </c>
      <c r="J43" s="147" t="s">
        <v>321</v>
      </c>
    </row>
    <row r="44" spans="1:10" customFormat="1" ht="30" customHeight="1" x14ac:dyDescent="0.25">
      <c r="A44" s="71" t="s">
        <v>179</v>
      </c>
      <c r="B44" s="71" t="s">
        <v>181</v>
      </c>
      <c r="C44" s="90" t="s">
        <v>34</v>
      </c>
      <c r="D44" s="144" t="s">
        <v>261</v>
      </c>
      <c r="E44" s="148"/>
      <c r="F44" s="145" t="s">
        <v>309</v>
      </c>
      <c r="G44" s="146" t="s">
        <v>321</v>
      </c>
      <c r="H44" s="146" t="s">
        <v>321</v>
      </c>
      <c r="I44" s="146" t="s">
        <v>321</v>
      </c>
      <c r="J44" s="147" t="s">
        <v>321</v>
      </c>
    </row>
    <row r="45" spans="1:10" customFormat="1" ht="30" customHeight="1" x14ac:dyDescent="0.25">
      <c r="A45" s="71" t="s">
        <v>179</v>
      </c>
      <c r="B45" s="71" t="s">
        <v>181</v>
      </c>
      <c r="C45" s="90" t="s">
        <v>35</v>
      </c>
      <c r="D45" s="144" t="s">
        <v>261</v>
      </c>
      <c r="E45" s="148"/>
      <c r="F45" s="145" t="s">
        <v>309</v>
      </c>
      <c r="G45" s="146" t="s">
        <v>321</v>
      </c>
      <c r="H45" s="146" t="s">
        <v>321</v>
      </c>
      <c r="I45" s="146" t="s">
        <v>321</v>
      </c>
      <c r="J45" s="147" t="s">
        <v>321</v>
      </c>
    </row>
    <row r="46" spans="1:10" customFormat="1" ht="30" customHeight="1" x14ac:dyDescent="0.25">
      <c r="A46" s="71" t="s">
        <v>179</v>
      </c>
      <c r="B46" s="71" t="s">
        <v>182</v>
      </c>
      <c r="C46" s="90" t="s">
        <v>36</v>
      </c>
      <c r="D46" s="144" t="s">
        <v>261</v>
      </c>
      <c r="E46" s="148"/>
      <c r="F46" s="145" t="s">
        <v>309</v>
      </c>
      <c r="G46" s="146" t="s">
        <v>321</v>
      </c>
      <c r="H46" s="146" t="s">
        <v>321</v>
      </c>
      <c r="I46" s="146" t="s">
        <v>321</v>
      </c>
      <c r="J46" s="147" t="s">
        <v>321</v>
      </c>
    </row>
    <row r="47" spans="1:10" customFormat="1" ht="30" customHeight="1" x14ac:dyDescent="0.25">
      <c r="A47" s="71" t="s">
        <v>179</v>
      </c>
      <c r="B47" s="71" t="s">
        <v>182</v>
      </c>
      <c r="C47" s="90" t="s">
        <v>37</v>
      </c>
      <c r="D47" s="144" t="s">
        <v>261</v>
      </c>
      <c r="E47" s="148"/>
      <c r="F47" s="145" t="s">
        <v>309</v>
      </c>
      <c r="G47" s="146" t="s">
        <v>321</v>
      </c>
      <c r="H47" s="146" t="s">
        <v>321</v>
      </c>
      <c r="I47" s="146" t="s">
        <v>321</v>
      </c>
      <c r="J47" s="147" t="s">
        <v>321</v>
      </c>
    </row>
    <row r="48" spans="1:10" customFormat="1" ht="30" customHeight="1" x14ac:dyDescent="0.25">
      <c r="A48" s="71" t="s">
        <v>183</v>
      </c>
      <c r="B48" s="71" t="s">
        <v>184</v>
      </c>
      <c r="C48" s="90" t="s">
        <v>38</v>
      </c>
      <c r="D48" s="144" t="s">
        <v>261</v>
      </c>
      <c r="E48" s="148"/>
      <c r="F48" s="145" t="s">
        <v>309</v>
      </c>
      <c r="G48" s="146" t="s">
        <v>321</v>
      </c>
      <c r="H48" s="146" t="s">
        <v>321</v>
      </c>
      <c r="I48" s="146" t="s">
        <v>321</v>
      </c>
      <c r="J48" s="147" t="s">
        <v>321</v>
      </c>
    </row>
    <row r="49" spans="1:10" customFormat="1" ht="30" customHeight="1" x14ac:dyDescent="0.25">
      <c r="A49" s="71" t="s">
        <v>183</v>
      </c>
      <c r="B49" s="71" t="s">
        <v>184</v>
      </c>
      <c r="C49" s="90" t="s">
        <v>39</v>
      </c>
      <c r="D49" s="144" t="s">
        <v>261</v>
      </c>
      <c r="E49" s="148"/>
      <c r="F49" s="145" t="s">
        <v>309</v>
      </c>
      <c r="G49" s="146" t="s">
        <v>321</v>
      </c>
      <c r="H49" s="146" t="s">
        <v>321</v>
      </c>
      <c r="I49" s="146" t="s">
        <v>321</v>
      </c>
      <c r="J49" s="147" t="s">
        <v>321</v>
      </c>
    </row>
    <row r="50" spans="1:10" customFormat="1" ht="30" customHeight="1" x14ac:dyDescent="0.25">
      <c r="A50" s="71" t="s">
        <v>183</v>
      </c>
      <c r="B50" s="71" t="s">
        <v>184</v>
      </c>
      <c r="C50" s="90" t="s">
        <v>40</v>
      </c>
      <c r="D50" s="144" t="s">
        <v>261</v>
      </c>
      <c r="E50" s="148"/>
      <c r="F50" s="145" t="s">
        <v>309</v>
      </c>
      <c r="G50" s="146" t="s">
        <v>321</v>
      </c>
      <c r="H50" s="146" t="s">
        <v>321</v>
      </c>
      <c r="I50" s="146" t="s">
        <v>321</v>
      </c>
      <c r="J50" s="147" t="s">
        <v>321</v>
      </c>
    </row>
    <row r="51" spans="1:10" customFormat="1" ht="30" customHeight="1" x14ac:dyDescent="0.25">
      <c r="A51" s="71" t="s">
        <v>183</v>
      </c>
      <c r="B51" s="71" t="s">
        <v>184</v>
      </c>
      <c r="C51" s="90" t="s">
        <v>41</v>
      </c>
      <c r="D51" s="144" t="s">
        <v>261</v>
      </c>
      <c r="E51" s="148"/>
      <c r="F51" s="145" t="s">
        <v>309</v>
      </c>
      <c r="G51" s="146" t="s">
        <v>321</v>
      </c>
      <c r="H51" s="146" t="s">
        <v>321</v>
      </c>
      <c r="I51" s="146" t="s">
        <v>321</v>
      </c>
      <c r="J51" s="147" t="s">
        <v>321</v>
      </c>
    </row>
    <row r="52" spans="1:10" customFormat="1" ht="30" customHeight="1" x14ac:dyDescent="0.25">
      <c r="A52" s="71" t="s">
        <v>183</v>
      </c>
      <c r="B52" s="71" t="s">
        <v>184</v>
      </c>
      <c r="C52" s="90" t="s">
        <v>252</v>
      </c>
      <c r="D52" s="144" t="s">
        <v>261</v>
      </c>
      <c r="E52" s="148"/>
      <c r="F52" s="145" t="s">
        <v>309</v>
      </c>
      <c r="G52" s="146" t="s">
        <v>321</v>
      </c>
      <c r="H52" s="146" t="s">
        <v>321</v>
      </c>
      <c r="I52" s="146" t="s">
        <v>321</v>
      </c>
      <c r="J52" s="147" t="s">
        <v>321</v>
      </c>
    </row>
    <row r="53" spans="1:10" customFormat="1" ht="30" customHeight="1" x14ac:dyDescent="0.25">
      <c r="A53" s="71" t="s">
        <v>183</v>
      </c>
      <c r="B53" s="71" t="s">
        <v>185</v>
      </c>
      <c r="C53" s="90" t="s">
        <v>42</v>
      </c>
      <c r="D53" s="144" t="s">
        <v>261</v>
      </c>
      <c r="E53" s="148"/>
      <c r="F53" s="145" t="s">
        <v>309</v>
      </c>
      <c r="G53" s="146" t="s">
        <v>321</v>
      </c>
      <c r="H53" s="146" t="s">
        <v>321</v>
      </c>
      <c r="I53" s="146" t="s">
        <v>321</v>
      </c>
      <c r="J53" s="147" t="s">
        <v>321</v>
      </c>
    </row>
    <row r="54" spans="1:10" customFormat="1" ht="30" customHeight="1" x14ac:dyDescent="0.25">
      <c r="A54" s="71" t="s">
        <v>183</v>
      </c>
      <c r="B54" s="71" t="s">
        <v>185</v>
      </c>
      <c r="C54" s="90" t="s">
        <v>43</v>
      </c>
      <c r="D54" s="144" t="s">
        <v>261</v>
      </c>
      <c r="E54" s="148"/>
      <c r="F54" s="145" t="s">
        <v>309</v>
      </c>
      <c r="G54" s="146" t="s">
        <v>321</v>
      </c>
      <c r="H54" s="146" t="s">
        <v>321</v>
      </c>
      <c r="I54" s="146" t="s">
        <v>321</v>
      </c>
      <c r="J54" s="147" t="s">
        <v>321</v>
      </c>
    </row>
    <row r="55" spans="1:10" customFormat="1" ht="30" customHeight="1" x14ac:dyDescent="0.25">
      <c r="A55" s="71" t="s">
        <v>183</v>
      </c>
      <c r="B55" s="71" t="s">
        <v>185</v>
      </c>
      <c r="C55" s="90" t="s">
        <v>44</v>
      </c>
      <c r="D55" s="144" t="s">
        <v>261</v>
      </c>
      <c r="E55" s="148"/>
      <c r="F55" s="145" t="s">
        <v>309</v>
      </c>
      <c r="G55" s="146" t="s">
        <v>321</v>
      </c>
      <c r="H55" s="146" t="s">
        <v>321</v>
      </c>
      <c r="I55" s="146" t="s">
        <v>321</v>
      </c>
      <c r="J55" s="147" t="s">
        <v>321</v>
      </c>
    </row>
    <row r="56" spans="1:10" customFormat="1" ht="30" customHeight="1" x14ac:dyDescent="0.25">
      <c r="A56" s="71" t="s">
        <v>183</v>
      </c>
      <c r="B56" s="71" t="s">
        <v>185</v>
      </c>
      <c r="C56" s="90" t="s">
        <v>45</v>
      </c>
      <c r="D56" s="144" t="s">
        <v>261</v>
      </c>
      <c r="E56" s="148"/>
      <c r="F56" s="145" t="s">
        <v>309</v>
      </c>
      <c r="G56" s="146" t="s">
        <v>321</v>
      </c>
      <c r="H56" s="146" t="s">
        <v>321</v>
      </c>
      <c r="I56" s="146" t="s">
        <v>321</v>
      </c>
      <c r="J56" s="147" t="s">
        <v>321</v>
      </c>
    </row>
    <row r="57" spans="1:10" customFormat="1" ht="30" customHeight="1" x14ac:dyDescent="0.25">
      <c r="A57" s="71" t="s">
        <v>183</v>
      </c>
      <c r="B57" s="71" t="s">
        <v>186</v>
      </c>
      <c r="C57" s="90" t="s">
        <v>46</v>
      </c>
      <c r="D57" s="144" t="s">
        <v>261</v>
      </c>
      <c r="E57" s="148"/>
      <c r="F57" s="145" t="s">
        <v>309</v>
      </c>
      <c r="G57" s="146" t="s">
        <v>321</v>
      </c>
      <c r="H57" s="146" t="s">
        <v>321</v>
      </c>
      <c r="I57" s="146" t="s">
        <v>321</v>
      </c>
      <c r="J57" s="147" t="s">
        <v>321</v>
      </c>
    </row>
    <row r="58" spans="1:10" customFormat="1" ht="30" customHeight="1" x14ac:dyDescent="0.25">
      <c r="A58" s="71" t="s">
        <v>183</v>
      </c>
      <c r="B58" s="71" t="s">
        <v>186</v>
      </c>
      <c r="C58" s="90" t="s">
        <v>47</v>
      </c>
      <c r="D58" s="144" t="s">
        <v>261</v>
      </c>
      <c r="E58" s="148"/>
      <c r="F58" s="145" t="s">
        <v>309</v>
      </c>
      <c r="G58" s="146" t="s">
        <v>321</v>
      </c>
      <c r="H58" s="146" t="s">
        <v>321</v>
      </c>
      <c r="I58" s="146" t="s">
        <v>321</v>
      </c>
      <c r="J58" s="147" t="s">
        <v>321</v>
      </c>
    </row>
    <row r="59" spans="1:10" customFormat="1" ht="30" customHeight="1" x14ac:dyDescent="0.25">
      <c r="A59" s="71" t="s">
        <v>183</v>
      </c>
      <c r="B59" s="71" t="s">
        <v>186</v>
      </c>
      <c r="C59" s="90" t="s">
        <v>48</v>
      </c>
      <c r="D59" s="144" t="s">
        <v>261</v>
      </c>
      <c r="E59" s="148"/>
      <c r="F59" s="145" t="s">
        <v>309</v>
      </c>
      <c r="G59" s="146" t="s">
        <v>321</v>
      </c>
      <c r="H59" s="146" t="s">
        <v>321</v>
      </c>
      <c r="I59" s="146" t="s">
        <v>321</v>
      </c>
      <c r="J59" s="147" t="s">
        <v>321</v>
      </c>
    </row>
    <row r="60" spans="1:10" customFormat="1" ht="30" customHeight="1" x14ac:dyDescent="0.25">
      <c r="A60" s="71" t="s">
        <v>187</v>
      </c>
      <c r="B60" s="71" t="s">
        <v>188</v>
      </c>
      <c r="C60" s="90" t="s">
        <v>49</v>
      </c>
      <c r="D60" s="144" t="s">
        <v>261</v>
      </c>
      <c r="E60" s="148"/>
      <c r="F60" s="145" t="s">
        <v>309</v>
      </c>
      <c r="G60" s="146" t="s">
        <v>321</v>
      </c>
      <c r="H60" s="146" t="s">
        <v>321</v>
      </c>
      <c r="I60" s="146" t="s">
        <v>321</v>
      </c>
      <c r="J60" s="147" t="s">
        <v>321</v>
      </c>
    </row>
    <row r="61" spans="1:10" customFormat="1" ht="30" customHeight="1" x14ac:dyDescent="0.25">
      <c r="A61" s="71" t="s">
        <v>187</v>
      </c>
      <c r="B61" s="71" t="s">
        <v>189</v>
      </c>
      <c r="C61" s="90" t="s">
        <v>50</v>
      </c>
      <c r="D61" s="144" t="s">
        <v>261</v>
      </c>
      <c r="E61" s="148"/>
      <c r="F61" s="145" t="s">
        <v>309</v>
      </c>
      <c r="G61" s="146" t="s">
        <v>321</v>
      </c>
      <c r="H61" s="146" t="s">
        <v>321</v>
      </c>
      <c r="I61" s="146" t="s">
        <v>321</v>
      </c>
      <c r="J61" s="147" t="s">
        <v>321</v>
      </c>
    </row>
    <row r="62" spans="1:10" customFormat="1" ht="30" customHeight="1" x14ac:dyDescent="0.25">
      <c r="A62" s="71" t="s">
        <v>187</v>
      </c>
      <c r="B62" s="71" t="s">
        <v>189</v>
      </c>
      <c r="C62" s="90" t="s">
        <v>51</v>
      </c>
      <c r="D62" s="144" t="s">
        <v>261</v>
      </c>
      <c r="E62" s="148"/>
      <c r="F62" s="145" t="s">
        <v>309</v>
      </c>
      <c r="G62" s="146" t="s">
        <v>321</v>
      </c>
      <c r="H62" s="146" t="s">
        <v>321</v>
      </c>
      <c r="I62" s="146" t="s">
        <v>321</v>
      </c>
      <c r="J62" s="147" t="s">
        <v>321</v>
      </c>
    </row>
    <row r="63" spans="1:10" customFormat="1" ht="30" customHeight="1" x14ac:dyDescent="0.25">
      <c r="A63" s="71" t="s">
        <v>187</v>
      </c>
      <c r="B63" s="71" t="s">
        <v>214</v>
      </c>
      <c r="C63" s="90" t="s">
        <v>52</v>
      </c>
      <c r="D63" s="144" t="s">
        <v>261</v>
      </c>
      <c r="E63" s="148"/>
      <c r="F63" s="145" t="s">
        <v>309</v>
      </c>
      <c r="G63" s="146" t="s">
        <v>321</v>
      </c>
      <c r="H63" s="146" t="s">
        <v>321</v>
      </c>
      <c r="I63" s="146" t="s">
        <v>321</v>
      </c>
      <c r="J63" s="147" t="s">
        <v>321</v>
      </c>
    </row>
    <row r="64" spans="1:10" customFormat="1" ht="30" customHeight="1" x14ac:dyDescent="0.25">
      <c r="A64" s="71" t="s">
        <v>190</v>
      </c>
      <c r="B64" s="71" t="s">
        <v>191</v>
      </c>
      <c r="C64" s="90" t="s">
        <v>53</v>
      </c>
      <c r="D64" s="144" t="s">
        <v>261</v>
      </c>
      <c r="E64" s="148"/>
      <c r="F64" s="145" t="s">
        <v>309</v>
      </c>
      <c r="G64" s="146" t="s">
        <v>321</v>
      </c>
      <c r="H64" s="146" t="s">
        <v>321</v>
      </c>
      <c r="I64" s="146" t="s">
        <v>321</v>
      </c>
      <c r="J64" s="147" t="s">
        <v>321</v>
      </c>
    </row>
    <row r="65" spans="1:10" customFormat="1" ht="30" customHeight="1" x14ac:dyDescent="0.25">
      <c r="A65" s="71" t="s">
        <v>190</v>
      </c>
      <c r="B65" s="71" t="s">
        <v>191</v>
      </c>
      <c r="C65" s="90" t="s">
        <v>54</v>
      </c>
      <c r="D65" s="144" t="s">
        <v>261</v>
      </c>
      <c r="E65" s="148"/>
      <c r="F65" s="145" t="s">
        <v>309</v>
      </c>
      <c r="G65" s="146" t="s">
        <v>321</v>
      </c>
      <c r="H65" s="146" t="s">
        <v>321</v>
      </c>
      <c r="I65" s="146" t="s">
        <v>321</v>
      </c>
      <c r="J65" s="147" t="s">
        <v>321</v>
      </c>
    </row>
    <row r="66" spans="1:10" customFormat="1" ht="30" customHeight="1" x14ac:dyDescent="0.25">
      <c r="A66" s="71" t="s">
        <v>190</v>
      </c>
      <c r="B66" s="71" t="s">
        <v>192</v>
      </c>
      <c r="C66" s="90" t="s">
        <v>55</v>
      </c>
      <c r="D66" s="144" t="s">
        <v>261</v>
      </c>
      <c r="E66" s="148"/>
      <c r="F66" s="145" t="s">
        <v>309</v>
      </c>
      <c r="G66" s="146" t="s">
        <v>321</v>
      </c>
      <c r="H66" s="146" t="s">
        <v>321</v>
      </c>
      <c r="I66" s="146" t="s">
        <v>321</v>
      </c>
      <c r="J66" s="147" t="s">
        <v>321</v>
      </c>
    </row>
    <row r="67" spans="1:10" customFormat="1" ht="30" customHeight="1" x14ac:dyDescent="0.25">
      <c r="A67" s="71" t="s">
        <v>190</v>
      </c>
      <c r="B67" s="71" t="s">
        <v>192</v>
      </c>
      <c r="C67" s="90" t="s">
        <v>56</v>
      </c>
      <c r="D67" s="144" t="s">
        <v>261</v>
      </c>
      <c r="E67" s="148"/>
      <c r="F67" s="145" t="s">
        <v>309</v>
      </c>
      <c r="G67" s="146" t="s">
        <v>321</v>
      </c>
      <c r="H67" s="146" t="s">
        <v>321</v>
      </c>
      <c r="I67" s="146" t="s">
        <v>321</v>
      </c>
      <c r="J67" s="147" t="s">
        <v>321</v>
      </c>
    </row>
    <row r="68" spans="1:10" customFormat="1" ht="30" customHeight="1" x14ac:dyDescent="0.25">
      <c r="A68" s="71" t="s">
        <v>190</v>
      </c>
      <c r="B68" s="71" t="s">
        <v>192</v>
      </c>
      <c r="C68" s="90" t="s">
        <v>57</v>
      </c>
      <c r="D68" s="144" t="s">
        <v>261</v>
      </c>
      <c r="E68" s="148"/>
      <c r="F68" s="145" t="s">
        <v>309</v>
      </c>
      <c r="G68" s="146" t="s">
        <v>321</v>
      </c>
      <c r="H68" s="146" t="s">
        <v>321</v>
      </c>
      <c r="I68" s="146" t="s">
        <v>321</v>
      </c>
      <c r="J68" s="147" t="s">
        <v>321</v>
      </c>
    </row>
    <row r="69" spans="1:10" customFormat="1" ht="30" customHeight="1" x14ac:dyDescent="0.25">
      <c r="A69" s="71" t="s">
        <v>190</v>
      </c>
      <c r="B69" s="71" t="s">
        <v>192</v>
      </c>
      <c r="C69" s="90" t="s">
        <v>58</v>
      </c>
      <c r="D69" s="144" t="s">
        <v>261</v>
      </c>
      <c r="E69" s="148"/>
      <c r="F69" s="145" t="s">
        <v>309</v>
      </c>
      <c r="G69" s="146" t="s">
        <v>321</v>
      </c>
      <c r="H69" s="146" t="s">
        <v>321</v>
      </c>
      <c r="I69" s="146" t="s">
        <v>321</v>
      </c>
      <c r="J69" s="147" t="s">
        <v>321</v>
      </c>
    </row>
    <row r="70" spans="1:10" customFormat="1" ht="30" customHeight="1" x14ac:dyDescent="0.25">
      <c r="A70" s="71" t="s">
        <v>190</v>
      </c>
      <c r="B70" s="71" t="s">
        <v>193</v>
      </c>
      <c r="C70" s="90" t="s">
        <v>59</v>
      </c>
      <c r="D70" s="144" t="s">
        <v>261</v>
      </c>
      <c r="E70" s="148"/>
      <c r="F70" s="145" t="s">
        <v>309</v>
      </c>
      <c r="G70" s="146" t="s">
        <v>321</v>
      </c>
      <c r="H70" s="146" t="s">
        <v>321</v>
      </c>
      <c r="I70" s="146" t="s">
        <v>321</v>
      </c>
      <c r="J70" s="147" t="s">
        <v>321</v>
      </c>
    </row>
    <row r="71" spans="1:10" customFormat="1" ht="30" customHeight="1" x14ac:dyDescent="0.25">
      <c r="A71" s="71" t="s">
        <v>190</v>
      </c>
      <c r="B71" s="71" t="s">
        <v>193</v>
      </c>
      <c r="C71" s="90" t="s">
        <v>60</v>
      </c>
      <c r="D71" s="144" t="s">
        <v>261</v>
      </c>
      <c r="E71" s="148"/>
      <c r="F71" s="145" t="s">
        <v>309</v>
      </c>
      <c r="G71" s="146" t="s">
        <v>321</v>
      </c>
      <c r="H71" s="146" t="s">
        <v>321</v>
      </c>
      <c r="I71" s="146" t="s">
        <v>321</v>
      </c>
      <c r="J71" s="147" t="s">
        <v>321</v>
      </c>
    </row>
    <row r="72" spans="1:10" customFormat="1" ht="30" customHeight="1" x14ac:dyDescent="0.25">
      <c r="A72" s="71" t="s">
        <v>190</v>
      </c>
      <c r="B72" s="71" t="s">
        <v>193</v>
      </c>
      <c r="C72" s="90" t="s">
        <v>61</v>
      </c>
      <c r="D72" s="144" t="s">
        <v>261</v>
      </c>
      <c r="E72" s="148"/>
      <c r="F72" s="145" t="s">
        <v>309</v>
      </c>
      <c r="G72" s="146" t="s">
        <v>321</v>
      </c>
      <c r="H72" s="146" t="s">
        <v>321</v>
      </c>
      <c r="I72" s="146" t="s">
        <v>321</v>
      </c>
      <c r="J72" s="147" t="s">
        <v>321</v>
      </c>
    </row>
    <row r="73" spans="1:10" customFormat="1" ht="30" customHeight="1" x14ac:dyDescent="0.25">
      <c r="A73" s="71" t="s">
        <v>190</v>
      </c>
      <c r="B73" s="71" t="s">
        <v>193</v>
      </c>
      <c r="C73" s="90" t="s">
        <v>62</v>
      </c>
      <c r="D73" s="144" t="s">
        <v>261</v>
      </c>
      <c r="E73" s="148"/>
      <c r="F73" s="145" t="s">
        <v>309</v>
      </c>
      <c r="G73" s="146" t="s">
        <v>321</v>
      </c>
      <c r="H73" s="146" t="s">
        <v>321</v>
      </c>
      <c r="I73" s="146" t="s">
        <v>321</v>
      </c>
      <c r="J73" s="147" t="s">
        <v>321</v>
      </c>
    </row>
    <row r="74" spans="1:10" customFormat="1" ht="30" customHeight="1" x14ac:dyDescent="0.25">
      <c r="A74" s="71" t="s">
        <v>190</v>
      </c>
      <c r="B74" s="71" t="s">
        <v>193</v>
      </c>
      <c r="C74" s="90" t="s">
        <v>63</v>
      </c>
      <c r="D74" s="144" t="s">
        <v>261</v>
      </c>
      <c r="E74" s="148"/>
      <c r="F74" s="145" t="s">
        <v>309</v>
      </c>
      <c r="G74" s="146" t="s">
        <v>321</v>
      </c>
      <c r="H74" s="146" t="s">
        <v>321</v>
      </c>
      <c r="I74" s="146" t="s">
        <v>321</v>
      </c>
      <c r="J74" s="147" t="s">
        <v>321</v>
      </c>
    </row>
    <row r="75" spans="1:10" customFormat="1" ht="30" customHeight="1" x14ac:dyDescent="0.25">
      <c r="A75" s="71" t="s">
        <v>190</v>
      </c>
      <c r="B75" s="71" t="s">
        <v>193</v>
      </c>
      <c r="C75" s="90" t="s">
        <v>64</v>
      </c>
      <c r="D75" s="144" t="s">
        <v>261</v>
      </c>
      <c r="E75" s="148"/>
      <c r="F75" s="145" t="s">
        <v>309</v>
      </c>
      <c r="G75" s="146" t="s">
        <v>321</v>
      </c>
      <c r="H75" s="146" t="s">
        <v>321</v>
      </c>
      <c r="I75" s="146" t="s">
        <v>321</v>
      </c>
      <c r="J75" s="147" t="s">
        <v>321</v>
      </c>
    </row>
    <row r="76" spans="1:10" customFormat="1" ht="30" customHeight="1" x14ac:dyDescent="0.25">
      <c r="A76" s="71" t="s">
        <v>194</v>
      </c>
      <c r="B76" s="71" t="s">
        <v>195</v>
      </c>
      <c r="C76" s="90" t="s">
        <v>65</v>
      </c>
      <c r="D76" s="144" t="s">
        <v>261</v>
      </c>
      <c r="E76" s="148"/>
      <c r="F76" s="145" t="s">
        <v>309</v>
      </c>
      <c r="G76" s="146" t="s">
        <v>321</v>
      </c>
      <c r="H76" s="146" t="s">
        <v>321</v>
      </c>
      <c r="I76" s="146" t="s">
        <v>321</v>
      </c>
      <c r="J76" s="147" t="s">
        <v>321</v>
      </c>
    </row>
    <row r="77" spans="1:10" customFormat="1" ht="30" customHeight="1" x14ac:dyDescent="0.25">
      <c r="A77" s="71" t="s">
        <v>194</v>
      </c>
      <c r="B77" s="71" t="s">
        <v>195</v>
      </c>
      <c r="C77" s="90" t="s">
        <v>66</v>
      </c>
      <c r="D77" s="144" t="s">
        <v>261</v>
      </c>
      <c r="E77" s="148"/>
      <c r="F77" s="145" t="s">
        <v>309</v>
      </c>
      <c r="G77" s="146" t="s">
        <v>321</v>
      </c>
      <c r="H77" s="146" t="s">
        <v>321</v>
      </c>
      <c r="I77" s="146" t="s">
        <v>321</v>
      </c>
      <c r="J77" s="147" t="s">
        <v>321</v>
      </c>
    </row>
    <row r="78" spans="1:10" customFormat="1" ht="30" customHeight="1" x14ac:dyDescent="0.25">
      <c r="A78" s="71" t="s">
        <v>194</v>
      </c>
      <c r="B78" s="71" t="s">
        <v>196</v>
      </c>
      <c r="C78" s="90" t="s">
        <v>67</v>
      </c>
      <c r="D78" s="144" t="s">
        <v>261</v>
      </c>
      <c r="E78" s="148"/>
      <c r="F78" s="145" t="s">
        <v>309</v>
      </c>
      <c r="G78" s="146" t="s">
        <v>321</v>
      </c>
      <c r="H78" s="146" t="s">
        <v>321</v>
      </c>
      <c r="I78" s="146" t="s">
        <v>321</v>
      </c>
      <c r="J78" s="147" t="s">
        <v>321</v>
      </c>
    </row>
    <row r="79" spans="1:10" customFormat="1" ht="30" customHeight="1" x14ac:dyDescent="0.25">
      <c r="A79" s="71" t="s">
        <v>194</v>
      </c>
      <c r="B79" s="71" t="s">
        <v>196</v>
      </c>
      <c r="C79" s="90" t="s">
        <v>68</v>
      </c>
      <c r="D79" s="144" t="s">
        <v>261</v>
      </c>
      <c r="E79" s="148"/>
      <c r="F79" s="145" t="s">
        <v>309</v>
      </c>
      <c r="G79" s="146" t="s">
        <v>321</v>
      </c>
      <c r="H79" s="146" t="s">
        <v>321</v>
      </c>
      <c r="I79" s="146" t="s">
        <v>321</v>
      </c>
      <c r="J79" s="147" t="s">
        <v>321</v>
      </c>
    </row>
    <row r="80" spans="1:10" customFormat="1" ht="30" customHeight="1" x14ac:dyDescent="0.25">
      <c r="A80" s="71" t="s">
        <v>197</v>
      </c>
      <c r="B80" s="71" t="s">
        <v>215</v>
      </c>
      <c r="C80" s="90" t="s">
        <v>69</v>
      </c>
      <c r="D80" s="144" t="s">
        <v>261</v>
      </c>
      <c r="E80" s="148"/>
      <c r="F80" s="145" t="s">
        <v>309</v>
      </c>
      <c r="G80" s="146" t="s">
        <v>321</v>
      </c>
      <c r="H80" s="146" t="s">
        <v>321</v>
      </c>
      <c r="I80" s="146" t="s">
        <v>321</v>
      </c>
      <c r="J80" s="147" t="s">
        <v>321</v>
      </c>
    </row>
    <row r="81" spans="1:10" customFormat="1" ht="30" customHeight="1" x14ac:dyDescent="0.25">
      <c r="A81" s="71" t="s">
        <v>197</v>
      </c>
      <c r="B81" s="71" t="s">
        <v>215</v>
      </c>
      <c r="C81" s="90" t="s">
        <v>70</v>
      </c>
      <c r="D81" s="144" t="s">
        <v>261</v>
      </c>
      <c r="E81" s="148"/>
      <c r="F81" s="145" t="s">
        <v>309</v>
      </c>
      <c r="G81" s="146" t="s">
        <v>321</v>
      </c>
      <c r="H81" s="146" t="s">
        <v>321</v>
      </c>
      <c r="I81" s="146" t="s">
        <v>321</v>
      </c>
      <c r="J81" s="147" t="s">
        <v>321</v>
      </c>
    </row>
    <row r="82" spans="1:10" customFormat="1" ht="30" customHeight="1" x14ac:dyDescent="0.25">
      <c r="A82" s="71" t="s">
        <v>197</v>
      </c>
      <c r="B82" s="71" t="s">
        <v>215</v>
      </c>
      <c r="C82" s="90" t="s">
        <v>71</v>
      </c>
      <c r="D82" s="144" t="s">
        <v>261</v>
      </c>
      <c r="E82" s="148"/>
      <c r="F82" s="145" t="s">
        <v>309</v>
      </c>
      <c r="G82" s="146" t="s">
        <v>321</v>
      </c>
      <c r="H82" s="146" t="s">
        <v>321</v>
      </c>
      <c r="I82" s="146" t="s">
        <v>321</v>
      </c>
      <c r="J82" s="147" t="s">
        <v>321</v>
      </c>
    </row>
    <row r="83" spans="1:10" customFormat="1" ht="30" customHeight="1" x14ac:dyDescent="0.25">
      <c r="A83" s="71" t="s">
        <v>198</v>
      </c>
      <c r="B83" s="71" t="s">
        <v>217</v>
      </c>
      <c r="C83" s="90" t="s">
        <v>72</v>
      </c>
      <c r="D83" s="144" t="s">
        <v>261</v>
      </c>
      <c r="E83" s="148"/>
      <c r="F83" s="145" t="s">
        <v>309</v>
      </c>
      <c r="G83" s="146" t="s">
        <v>321</v>
      </c>
      <c r="H83" s="146" t="s">
        <v>321</v>
      </c>
      <c r="I83" s="146" t="s">
        <v>321</v>
      </c>
      <c r="J83" s="147" t="s">
        <v>321</v>
      </c>
    </row>
    <row r="84" spans="1:10" customFormat="1" ht="30" customHeight="1" x14ac:dyDescent="0.25">
      <c r="A84" s="71" t="s">
        <v>198</v>
      </c>
      <c r="B84" s="71" t="s">
        <v>217</v>
      </c>
      <c r="C84" s="90" t="s">
        <v>73</v>
      </c>
      <c r="D84" s="144" t="s">
        <v>261</v>
      </c>
      <c r="E84" s="148"/>
      <c r="F84" s="145" t="s">
        <v>309</v>
      </c>
      <c r="G84" s="146" t="s">
        <v>321</v>
      </c>
      <c r="H84" s="146" t="s">
        <v>321</v>
      </c>
      <c r="I84" s="146" t="s">
        <v>321</v>
      </c>
      <c r="J84" s="147" t="s">
        <v>321</v>
      </c>
    </row>
    <row r="85" spans="1:10" customFormat="1" ht="30" customHeight="1" x14ac:dyDescent="0.25">
      <c r="A85" s="71" t="s">
        <v>198</v>
      </c>
      <c r="B85" s="71" t="s">
        <v>216</v>
      </c>
      <c r="C85" s="90" t="s">
        <v>74</v>
      </c>
      <c r="D85" s="144" t="s">
        <v>261</v>
      </c>
      <c r="E85" s="148"/>
      <c r="F85" s="145" t="s">
        <v>309</v>
      </c>
      <c r="G85" s="146" t="s">
        <v>321</v>
      </c>
      <c r="H85" s="146" t="s">
        <v>321</v>
      </c>
      <c r="I85" s="146" t="s">
        <v>321</v>
      </c>
      <c r="J85" s="147" t="s">
        <v>321</v>
      </c>
    </row>
    <row r="86" spans="1:10" customFormat="1" ht="30" customHeight="1" x14ac:dyDescent="0.25">
      <c r="A86" s="71" t="s">
        <v>198</v>
      </c>
      <c r="B86" s="71" t="s">
        <v>246</v>
      </c>
      <c r="C86" s="90" t="s">
        <v>75</v>
      </c>
      <c r="D86" s="144" t="s">
        <v>261</v>
      </c>
      <c r="E86" s="148"/>
      <c r="F86" s="145" t="s">
        <v>309</v>
      </c>
      <c r="G86" s="146" t="s">
        <v>321</v>
      </c>
      <c r="H86" s="146" t="s">
        <v>321</v>
      </c>
      <c r="I86" s="146" t="s">
        <v>321</v>
      </c>
      <c r="J86" s="147" t="s">
        <v>321</v>
      </c>
    </row>
    <row r="87" spans="1:10" customFormat="1" ht="30" customHeight="1" x14ac:dyDescent="0.25">
      <c r="A87" s="71" t="s">
        <v>199</v>
      </c>
      <c r="B87" s="71" t="s">
        <v>200</v>
      </c>
      <c r="C87" s="90" t="s">
        <v>76</v>
      </c>
      <c r="D87" s="144" t="s">
        <v>261</v>
      </c>
      <c r="E87" s="148"/>
      <c r="F87" s="145" t="s">
        <v>309</v>
      </c>
      <c r="G87" s="146" t="s">
        <v>321</v>
      </c>
      <c r="H87" s="146" t="s">
        <v>321</v>
      </c>
      <c r="I87" s="146" t="s">
        <v>321</v>
      </c>
      <c r="J87" s="147" t="s">
        <v>321</v>
      </c>
    </row>
    <row r="88" spans="1:10" customFormat="1" ht="30" customHeight="1" x14ac:dyDescent="0.25">
      <c r="A88" s="71" t="s">
        <v>199</v>
      </c>
      <c r="B88" s="71" t="s">
        <v>200</v>
      </c>
      <c r="C88" s="90" t="s">
        <v>77</v>
      </c>
      <c r="D88" s="144" t="s">
        <v>261</v>
      </c>
      <c r="E88" s="148"/>
      <c r="F88" s="145" t="s">
        <v>309</v>
      </c>
      <c r="G88" s="146" t="s">
        <v>321</v>
      </c>
      <c r="H88" s="146" t="s">
        <v>321</v>
      </c>
      <c r="I88" s="146" t="s">
        <v>321</v>
      </c>
      <c r="J88" s="147" t="s">
        <v>321</v>
      </c>
    </row>
    <row r="89" spans="1:10" customFormat="1" ht="30" customHeight="1" x14ac:dyDescent="0.25">
      <c r="A89" s="71" t="s">
        <v>199</v>
      </c>
      <c r="B89" s="71" t="s">
        <v>200</v>
      </c>
      <c r="C89" s="90" t="s">
        <v>78</v>
      </c>
      <c r="D89" s="144" t="s">
        <v>261</v>
      </c>
      <c r="E89" s="148"/>
      <c r="F89" s="145" t="s">
        <v>309</v>
      </c>
      <c r="G89" s="146" t="s">
        <v>321</v>
      </c>
      <c r="H89" s="146" t="s">
        <v>321</v>
      </c>
      <c r="I89" s="146" t="s">
        <v>321</v>
      </c>
      <c r="J89" s="147" t="s">
        <v>321</v>
      </c>
    </row>
    <row r="90" spans="1:10" customFormat="1" ht="30" customHeight="1" x14ac:dyDescent="0.25">
      <c r="A90" s="71" t="s">
        <v>199</v>
      </c>
      <c r="B90" s="71" t="s">
        <v>200</v>
      </c>
      <c r="C90" s="90" t="s">
        <v>79</v>
      </c>
      <c r="D90" s="144" t="s">
        <v>261</v>
      </c>
      <c r="E90" s="148"/>
      <c r="F90" s="145" t="s">
        <v>309</v>
      </c>
      <c r="G90" s="146" t="s">
        <v>321</v>
      </c>
      <c r="H90" s="146" t="s">
        <v>321</v>
      </c>
      <c r="I90" s="146" t="s">
        <v>321</v>
      </c>
      <c r="J90" s="147" t="s">
        <v>321</v>
      </c>
    </row>
    <row r="91" spans="1:10" customFormat="1" ht="30" customHeight="1" x14ac:dyDescent="0.25">
      <c r="A91" s="71" t="s">
        <v>199</v>
      </c>
      <c r="B91" s="71" t="s">
        <v>218</v>
      </c>
      <c r="C91" s="90" t="s">
        <v>80</v>
      </c>
      <c r="D91" s="144" t="s">
        <v>261</v>
      </c>
      <c r="E91" s="148"/>
      <c r="F91" s="145" t="s">
        <v>309</v>
      </c>
      <c r="G91" s="146" t="s">
        <v>321</v>
      </c>
      <c r="H91" s="146" t="s">
        <v>321</v>
      </c>
      <c r="I91" s="146" t="s">
        <v>321</v>
      </c>
      <c r="J91" s="147" t="s">
        <v>321</v>
      </c>
    </row>
    <row r="92" spans="1:10" customFormat="1" ht="30" customHeight="1" x14ac:dyDescent="0.25">
      <c r="A92" s="71" t="s">
        <v>199</v>
      </c>
      <c r="B92" s="71" t="s">
        <v>219</v>
      </c>
      <c r="C92" s="90" t="s">
        <v>81</v>
      </c>
      <c r="D92" s="144" t="s">
        <v>261</v>
      </c>
      <c r="E92" s="148"/>
      <c r="F92" s="145" t="s">
        <v>309</v>
      </c>
      <c r="G92" s="146" t="s">
        <v>321</v>
      </c>
      <c r="H92" s="146" t="s">
        <v>321</v>
      </c>
      <c r="I92" s="146" t="s">
        <v>321</v>
      </c>
      <c r="J92" s="147" t="s">
        <v>321</v>
      </c>
    </row>
    <row r="93" spans="1:10" customFormat="1" ht="30" customHeight="1" x14ac:dyDescent="0.25">
      <c r="A93" s="71" t="s">
        <v>199</v>
      </c>
      <c r="B93" s="71" t="s">
        <v>220</v>
      </c>
      <c r="C93" s="90" t="s">
        <v>82</v>
      </c>
      <c r="D93" s="144" t="s">
        <v>261</v>
      </c>
      <c r="E93" s="148"/>
      <c r="F93" s="145" t="s">
        <v>309</v>
      </c>
      <c r="G93" s="146" t="s">
        <v>321</v>
      </c>
      <c r="H93" s="146" t="s">
        <v>321</v>
      </c>
      <c r="I93" s="146" t="s">
        <v>321</v>
      </c>
      <c r="J93" s="147" t="s">
        <v>321</v>
      </c>
    </row>
    <row r="94" spans="1:10" customFormat="1" ht="30" customHeight="1" x14ac:dyDescent="0.25">
      <c r="A94" s="71" t="s">
        <v>201</v>
      </c>
      <c r="B94" s="71" t="s">
        <v>221</v>
      </c>
      <c r="C94" s="90" t="s">
        <v>83</v>
      </c>
      <c r="D94" s="144" t="s">
        <v>261</v>
      </c>
      <c r="E94" s="148"/>
      <c r="F94" s="145" t="s">
        <v>309</v>
      </c>
      <c r="G94" s="146" t="s">
        <v>321</v>
      </c>
      <c r="H94" s="146" t="s">
        <v>321</v>
      </c>
      <c r="I94" s="146" t="s">
        <v>321</v>
      </c>
      <c r="J94" s="147" t="s">
        <v>321</v>
      </c>
    </row>
    <row r="95" spans="1:10" customFormat="1" ht="30" customHeight="1" x14ac:dyDescent="0.25">
      <c r="A95" s="71" t="s">
        <v>201</v>
      </c>
      <c r="B95" s="71" t="s">
        <v>221</v>
      </c>
      <c r="C95" s="90" t="s">
        <v>84</v>
      </c>
      <c r="D95" s="144" t="s">
        <v>261</v>
      </c>
      <c r="E95" s="148"/>
      <c r="F95" s="145" t="s">
        <v>309</v>
      </c>
      <c r="G95" s="146" t="s">
        <v>321</v>
      </c>
      <c r="H95" s="146" t="s">
        <v>321</v>
      </c>
      <c r="I95" s="146" t="s">
        <v>321</v>
      </c>
      <c r="J95" s="147" t="s">
        <v>321</v>
      </c>
    </row>
    <row r="96" spans="1:10" customFormat="1" ht="30" customHeight="1" x14ac:dyDescent="0.25">
      <c r="A96" s="71" t="s">
        <v>202</v>
      </c>
      <c r="B96" s="71" t="s">
        <v>203</v>
      </c>
      <c r="C96" s="90" t="s">
        <v>85</v>
      </c>
      <c r="D96" s="144" t="s">
        <v>261</v>
      </c>
      <c r="E96" s="148"/>
      <c r="F96" s="145" t="s">
        <v>309</v>
      </c>
      <c r="G96" s="146" t="s">
        <v>321</v>
      </c>
      <c r="H96" s="146" t="s">
        <v>321</v>
      </c>
      <c r="I96" s="146" t="s">
        <v>321</v>
      </c>
      <c r="J96" s="147" t="s">
        <v>321</v>
      </c>
    </row>
    <row r="97" spans="1:10" customFormat="1" ht="30" customHeight="1" x14ac:dyDescent="0.25">
      <c r="A97" s="71" t="s">
        <v>202</v>
      </c>
      <c r="B97" s="71" t="s">
        <v>203</v>
      </c>
      <c r="C97" s="90" t="s">
        <v>86</v>
      </c>
      <c r="D97" s="144" t="s">
        <v>261</v>
      </c>
      <c r="E97" s="148"/>
      <c r="F97" s="145" t="s">
        <v>309</v>
      </c>
      <c r="G97" s="146" t="s">
        <v>321</v>
      </c>
      <c r="H97" s="146" t="s">
        <v>321</v>
      </c>
      <c r="I97" s="146" t="s">
        <v>321</v>
      </c>
      <c r="J97" s="147" t="s">
        <v>321</v>
      </c>
    </row>
    <row r="98" spans="1:10" customFormat="1" ht="30" customHeight="1" x14ac:dyDescent="0.25">
      <c r="A98" s="71" t="s">
        <v>202</v>
      </c>
      <c r="B98" s="71" t="s">
        <v>204</v>
      </c>
      <c r="C98" s="90" t="s">
        <v>87</v>
      </c>
      <c r="D98" s="144" t="s">
        <v>261</v>
      </c>
      <c r="E98" s="148"/>
      <c r="F98" s="145" t="s">
        <v>309</v>
      </c>
      <c r="G98" s="146" t="s">
        <v>321</v>
      </c>
      <c r="H98" s="146" t="s">
        <v>321</v>
      </c>
      <c r="I98" s="146" t="s">
        <v>321</v>
      </c>
      <c r="J98" s="147" t="s">
        <v>321</v>
      </c>
    </row>
    <row r="99" spans="1:10" customFormat="1" ht="30" customHeight="1" x14ac:dyDescent="0.25">
      <c r="A99" s="71" t="s">
        <v>202</v>
      </c>
      <c r="B99" s="71" t="s">
        <v>222</v>
      </c>
      <c r="C99" s="90" t="s">
        <v>88</v>
      </c>
      <c r="D99" s="144" t="s">
        <v>261</v>
      </c>
      <c r="E99" s="148"/>
      <c r="F99" s="145" t="s">
        <v>309</v>
      </c>
      <c r="G99" s="146" t="s">
        <v>321</v>
      </c>
      <c r="H99" s="146" t="s">
        <v>321</v>
      </c>
      <c r="I99" s="146" t="s">
        <v>321</v>
      </c>
      <c r="J99" s="147" t="s">
        <v>321</v>
      </c>
    </row>
    <row r="100" spans="1:10" customFormat="1" ht="30" customHeight="1" x14ac:dyDescent="0.25">
      <c r="A100" s="71" t="s">
        <v>205</v>
      </c>
      <c r="B100" s="71" t="s">
        <v>223</v>
      </c>
      <c r="C100" s="90" t="s">
        <v>89</v>
      </c>
      <c r="D100" s="144" t="s">
        <v>261</v>
      </c>
      <c r="E100" s="148"/>
      <c r="F100" s="145" t="s">
        <v>309</v>
      </c>
      <c r="G100" s="146" t="s">
        <v>321</v>
      </c>
      <c r="H100" s="146" t="s">
        <v>321</v>
      </c>
      <c r="I100" s="146" t="s">
        <v>321</v>
      </c>
      <c r="J100" s="147" t="s">
        <v>321</v>
      </c>
    </row>
    <row r="101" spans="1:10" customFormat="1" ht="30" customHeight="1" x14ac:dyDescent="0.25">
      <c r="A101" s="71" t="s">
        <v>205</v>
      </c>
      <c r="B101" s="71" t="s">
        <v>223</v>
      </c>
      <c r="C101" s="90" t="s">
        <v>90</v>
      </c>
      <c r="D101" s="144" t="s">
        <v>261</v>
      </c>
      <c r="E101" s="148"/>
      <c r="F101" s="145" t="s">
        <v>309</v>
      </c>
      <c r="G101" s="146" t="s">
        <v>321</v>
      </c>
      <c r="H101" s="146" t="s">
        <v>321</v>
      </c>
      <c r="I101" s="146" t="s">
        <v>321</v>
      </c>
      <c r="J101" s="147" t="s">
        <v>321</v>
      </c>
    </row>
    <row r="102" spans="1:10" customFormat="1" ht="30" customHeight="1" x14ac:dyDescent="0.25">
      <c r="A102" s="71" t="s">
        <v>205</v>
      </c>
      <c r="B102" s="71" t="s">
        <v>223</v>
      </c>
      <c r="C102" s="90" t="s">
        <v>91</v>
      </c>
      <c r="D102" s="144" t="s">
        <v>261</v>
      </c>
      <c r="E102" s="148"/>
      <c r="F102" s="145" t="s">
        <v>309</v>
      </c>
      <c r="G102" s="146" t="s">
        <v>321</v>
      </c>
      <c r="H102" s="146" t="s">
        <v>321</v>
      </c>
      <c r="I102" s="146" t="s">
        <v>321</v>
      </c>
      <c r="J102" s="147" t="s">
        <v>321</v>
      </c>
    </row>
    <row r="103" spans="1:10" customFormat="1" ht="30" customHeight="1" x14ac:dyDescent="0.25">
      <c r="A103" s="71" t="s">
        <v>205</v>
      </c>
      <c r="B103" s="71" t="s">
        <v>244</v>
      </c>
      <c r="C103" s="90" t="s">
        <v>92</v>
      </c>
      <c r="D103" s="144" t="s">
        <v>261</v>
      </c>
      <c r="E103" s="148"/>
      <c r="F103" s="145" t="s">
        <v>309</v>
      </c>
      <c r="G103" s="146" t="s">
        <v>321</v>
      </c>
      <c r="H103" s="146" t="s">
        <v>321</v>
      </c>
      <c r="I103" s="146" t="s">
        <v>321</v>
      </c>
      <c r="J103" s="147" t="s">
        <v>321</v>
      </c>
    </row>
    <row r="104" spans="1:10" customFormat="1" ht="30" customHeight="1" x14ac:dyDescent="0.25">
      <c r="A104" s="71" t="s">
        <v>205</v>
      </c>
      <c r="B104" s="71" t="s">
        <v>244</v>
      </c>
      <c r="C104" s="90" t="s">
        <v>93</v>
      </c>
      <c r="D104" s="144" t="s">
        <v>261</v>
      </c>
      <c r="E104" s="148"/>
      <c r="F104" s="145" t="s">
        <v>309</v>
      </c>
      <c r="G104" s="146" t="s">
        <v>321</v>
      </c>
      <c r="H104" s="146" t="s">
        <v>321</v>
      </c>
      <c r="I104" s="146" t="s">
        <v>321</v>
      </c>
      <c r="J104" s="147" t="s">
        <v>321</v>
      </c>
    </row>
    <row r="105" spans="1:10" customFormat="1" ht="30" customHeight="1" x14ac:dyDescent="0.25">
      <c r="A105" s="71" t="s">
        <v>205</v>
      </c>
      <c r="B105" s="71" t="s">
        <v>247</v>
      </c>
      <c r="C105" s="90" t="s">
        <v>94</v>
      </c>
      <c r="D105" s="144" t="s">
        <v>261</v>
      </c>
      <c r="E105" s="148"/>
      <c r="F105" s="145" t="s">
        <v>309</v>
      </c>
      <c r="G105" s="146" t="s">
        <v>321</v>
      </c>
      <c r="H105" s="146" t="s">
        <v>321</v>
      </c>
      <c r="I105" s="146" t="s">
        <v>321</v>
      </c>
      <c r="J105" s="147" t="s">
        <v>321</v>
      </c>
    </row>
    <row r="106" spans="1:10" customFormat="1" ht="30" customHeight="1" x14ac:dyDescent="0.25">
      <c r="A106" s="71" t="s">
        <v>205</v>
      </c>
      <c r="B106" s="71" t="s">
        <v>247</v>
      </c>
      <c r="C106" s="90" t="s">
        <v>95</v>
      </c>
      <c r="D106" s="144" t="s">
        <v>261</v>
      </c>
      <c r="E106" s="148"/>
      <c r="F106" s="145" t="s">
        <v>309</v>
      </c>
      <c r="G106" s="146" t="s">
        <v>321</v>
      </c>
      <c r="H106" s="146" t="s">
        <v>321</v>
      </c>
      <c r="I106" s="146" t="s">
        <v>321</v>
      </c>
      <c r="J106" s="147" t="s">
        <v>321</v>
      </c>
    </row>
    <row r="107" spans="1:10" customFormat="1" ht="30" customHeight="1" x14ac:dyDescent="0.25">
      <c r="A107" s="71" t="s">
        <v>205</v>
      </c>
      <c r="B107" s="71" t="s">
        <v>224</v>
      </c>
      <c r="C107" s="90" t="s">
        <v>96</v>
      </c>
      <c r="D107" s="144" t="s">
        <v>261</v>
      </c>
      <c r="E107" s="148"/>
      <c r="F107" s="145" t="s">
        <v>309</v>
      </c>
      <c r="G107" s="146" t="s">
        <v>321</v>
      </c>
      <c r="H107" s="146" t="s">
        <v>321</v>
      </c>
      <c r="I107" s="146" t="s">
        <v>321</v>
      </c>
      <c r="J107" s="147" t="s">
        <v>321</v>
      </c>
    </row>
    <row r="108" spans="1:10" customFormat="1" ht="30" customHeight="1" x14ac:dyDescent="0.25">
      <c r="A108" s="71" t="s">
        <v>205</v>
      </c>
      <c r="B108" s="71" t="s">
        <v>224</v>
      </c>
      <c r="C108" s="90" t="s">
        <v>97</v>
      </c>
      <c r="D108" s="144" t="s">
        <v>261</v>
      </c>
      <c r="E108" s="148"/>
      <c r="F108" s="145" t="s">
        <v>309</v>
      </c>
      <c r="G108" s="146" t="s">
        <v>321</v>
      </c>
      <c r="H108" s="146" t="s">
        <v>321</v>
      </c>
      <c r="I108" s="146" t="s">
        <v>321</v>
      </c>
      <c r="J108" s="147" t="s">
        <v>321</v>
      </c>
    </row>
    <row r="109" spans="1:10" customFormat="1" ht="30" customHeight="1" x14ac:dyDescent="0.25">
      <c r="A109" s="71" t="s">
        <v>205</v>
      </c>
      <c r="B109" s="71" t="s">
        <v>225</v>
      </c>
      <c r="C109" s="90" t="s">
        <v>98</v>
      </c>
      <c r="D109" s="144" t="s">
        <v>261</v>
      </c>
      <c r="E109" s="148"/>
      <c r="F109" s="145" t="s">
        <v>309</v>
      </c>
      <c r="G109" s="146" t="s">
        <v>321</v>
      </c>
      <c r="H109" s="146" t="s">
        <v>321</v>
      </c>
      <c r="I109" s="146" t="s">
        <v>321</v>
      </c>
      <c r="J109" s="147" t="s">
        <v>321</v>
      </c>
    </row>
    <row r="110" spans="1:10" customFormat="1" ht="30" customHeight="1" x14ac:dyDescent="0.25">
      <c r="A110" s="71" t="s">
        <v>205</v>
      </c>
      <c r="B110" s="71" t="s">
        <v>225</v>
      </c>
      <c r="C110" s="90" t="s">
        <v>99</v>
      </c>
      <c r="D110" s="144" t="s">
        <v>261</v>
      </c>
      <c r="E110" s="148"/>
      <c r="F110" s="145" t="s">
        <v>309</v>
      </c>
      <c r="G110" s="146" t="s">
        <v>321</v>
      </c>
      <c r="H110" s="146" t="s">
        <v>321</v>
      </c>
      <c r="I110" s="146" t="s">
        <v>321</v>
      </c>
      <c r="J110" s="147" t="s">
        <v>321</v>
      </c>
    </row>
    <row r="111" spans="1:10" customFormat="1" ht="30" customHeight="1" x14ac:dyDescent="0.25">
      <c r="A111" s="71" t="s">
        <v>205</v>
      </c>
      <c r="B111" s="71" t="s">
        <v>225</v>
      </c>
      <c r="C111" s="90" t="s">
        <v>100</v>
      </c>
      <c r="D111" s="144" t="s">
        <v>261</v>
      </c>
      <c r="E111" s="148"/>
      <c r="F111" s="145" t="s">
        <v>309</v>
      </c>
      <c r="G111" s="146" t="s">
        <v>321</v>
      </c>
      <c r="H111" s="146" t="s">
        <v>321</v>
      </c>
      <c r="I111" s="146" t="s">
        <v>321</v>
      </c>
      <c r="J111" s="147" t="s">
        <v>321</v>
      </c>
    </row>
    <row r="112" spans="1:10" customFormat="1" ht="30" customHeight="1" x14ac:dyDescent="0.25">
      <c r="A112" s="71" t="s">
        <v>205</v>
      </c>
      <c r="B112" s="71" t="s">
        <v>226</v>
      </c>
      <c r="C112" s="90" t="s">
        <v>101</v>
      </c>
      <c r="D112" s="144" t="s">
        <v>261</v>
      </c>
      <c r="E112" s="148"/>
      <c r="F112" s="145" t="s">
        <v>309</v>
      </c>
      <c r="G112" s="146" t="s">
        <v>321</v>
      </c>
      <c r="H112" s="146" t="s">
        <v>321</v>
      </c>
      <c r="I112" s="146" t="s">
        <v>321</v>
      </c>
      <c r="J112" s="147" t="s">
        <v>321</v>
      </c>
    </row>
    <row r="113" spans="1:10" customFormat="1" ht="30" customHeight="1" x14ac:dyDescent="0.25">
      <c r="A113" s="71" t="s">
        <v>205</v>
      </c>
      <c r="B113" s="71" t="s">
        <v>226</v>
      </c>
      <c r="C113" s="90" t="s">
        <v>102</v>
      </c>
      <c r="D113" s="144" t="s">
        <v>261</v>
      </c>
      <c r="E113" s="148"/>
      <c r="F113" s="145" t="s">
        <v>309</v>
      </c>
      <c r="G113" s="146" t="s">
        <v>321</v>
      </c>
      <c r="H113" s="146" t="s">
        <v>321</v>
      </c>
      <c r="I113" s="146" t="s">
        <v>321</v>
      </c>
      <c r="J113" s="147" t="s">
        <v>321</v>
      </c>
    </row>
    <row r="114" spans="1:10" customFormat="1" ht="30" customHeight="1" x14ac:dyDescent="0.25">
      <c r="A114" s="71" t="s">
        <v>205</v>
      </c>
      <c r="B114" s="71" t="s">
        <v>226</v>
      </c>
      <c r="C114" s="90" t="s">
        <v>103</v>
      </c>
      <c r="D114" s="144" t="s">
        <v>261</v>
      </c>
      <c r="E114" s="148"/>
      <c r="F114" s="145" t="s">
        <v>309</v>
      </c>
      <c r="G114" s="146" t="s">
        <v>321</v>
      </c>
      <c r="H114" s="146" t="s">
        <v>321</v>
      </c>
      <c r="I114" s="146" t="s">
        <v>321</v>
      </c>
      <c r="J114" s="147" t="s">
        <v>321</v>
      </c>
    </row>
    <row r="115" spans="1:10" customFormat="1" ht="30" customHeight="1" x14ac:dyDescent="0.25">
      <c r="A115" s="71" t="s">
        <v>205</v>
      </c>
      <c r="B115" s="71" t="s">
        <v>227</v>
      </c>
      <c r="C115" s="90" t="s">
        <v>104</v>
      </c>
      <c r="D115" s="144" t="s">
        <v>261</v>
      </c>
      <c r="E115" s="148"/>
      <c r="F115" s="145" t="s">
        <v>309</v>
      </c>
      <c r="G115" s="146" t="s">
        <v>321</v>
      </c>
      <c r="H115" s="146" t="s">
        <v>321</v>
      </c>
      <c r="I115" s="146" t="s">
        <v>321</v>
      </c>
      <c r="J115" s="147" t="s">
        <v>321</v>
      </c>
    </row>
    <row r="116" spans="1:10" customFormat="1" ht="30" customHeight="1" x14ac:dyDescent="0.25">
      <c r="A116" s="71" t="s">
        <v>205</v>
      </c>
      <c r="B116" s="71" t="s">
        <v>227</v>
      </c>
      <c r="C116" s="90" t="s">
        <v>105</v>
      </c>
      <c r="D116" s="144" t="s">
        <v>261</v>
      </c>
      <c r="E116" s="148"/>
      <c r="F116" s="145" t="s">
        <v>309</v>
      </c>
      <c r="G116" s="146" t="s">
        <v>321</v>
      </c>
      <c r="H116" s="146" t="s">
        <v>321</v>
      </c>
      <c r="I116" s="146" t="s">
        <v>321</v>
      </c>
      <c r="J116" s="147" t="s">
        <v>321</v>
      </c>
    </row>
    <row r="117" spans="1:10" customFormat="1" ht="30" customHeight="1" x14ac:dyDescent="0.25">
      <c r="A117" s="71" t="s">
        <v>205</v>
      </c>
      <c r="B117" s="71" t="s">
        <v>227</v>
      </c>
      <c r="C117" s="90" t="s">
        <v>106</v>
      </c>
      <c r="D117" s="144" t="s">
        <v>261</v>
      </c>
      <c r="E117" s="148"/>
      <c r="F117" s="145" t="s">
        <v>309</v>
      </c>
      <c r="G117" s="146" t="s">
        <v>321</v>
      </c>
      <c r="H117" s="146" t="s">
        <v>321</v>
      </c>
      <c r="I117" s="146" t="s">
        <v>321</v>
      </c>
      <c r="J117" s="147" t="s">
        <v>321</v>
      </c>
    </row>
    <row r="118" spans="1:10" customFormat="1" ht="30" customHeight="1" x14ac:dyDescent="0.25">
      <c r="A118" s="71" t="s">
        <v>205</v>
      </c>
      <c r="B118" s="71" t="s">
        <v>228</v>
      </c>
      <c r="C118" s="90" t="s">
        <v>107</v>
      </c>
      <c r="D118" s="144" t="s">
        <v>261</v>
      </c>
      <c r="E118" s="148"/>
      <c r="F118" s="145" t="s">
        <v>309</v>
      </c>
      <c r="G118" s="146" t="s">
        <v>321</v>
      </c>
      <c r="H118" s="146" t="s">
        <v>321</v>
      </c>
      <c r="I118" s="146" t="s">
        <v>321</v>
      </c>
      <c r="J118" s="147" t="s">
        <v>321</v>
      </c>
    </row>
    <row r="119" spans="1:10" customFormat="1" ht="30" customHeight="1" x14ac:dyDescent="0.25">
      <c r="A119" s="71" t="s">
        <v>205</v>
      </c>
      <c r="B119" s="71" t="s">
        <v>228</v>
      </c>
      <c r="C119" s="90" t="s">
        <v>108</v>
      </c>
      <c r="D119" s="144" t="s">
        <v>261</v>
      </c>
      <c r="E119" s="148"/>
      <c r="F119" s="145" t="s">
        <v>309</v>
      </c>
      <c r="G119" s="146" t="s">
        <v>321</v>
      </c>
      <c r="H119" s="146" t="s">
        <v>321</v>
      </c>
      <c r="I119" s="146" t="s">
        <v>321</v>
      </c>
      <c r="J119" s="147" t="s">
        <v>321</v>
      </c>
    </row>
    <row r="120" spans="1:10" customFormat="1" ht="30" customHeight="1" x14ac:dyDescent="0.25">
      <c r="A120" s="71" t="s">
        <v>205</v>
      </c>
      <c r="B120" s="71" t="s">
        <v>229</v>
      </c>
      <c r="C120" s="90" t="s">
        <v>109</v>
      </c>
      <c r="D120" s="144" t="s">
        <v>261</v>
      </c>
      <c r="E120" s="148"/>
      <c r="F120" s="145" t="s">
        <v>309</v>
      </c>
      <c r="G120" s="146" t="s">
        <v>321</v>
      </c>
      <c r="H120" s="146" t="s">
        <v>321</v>
      </c>
      <c r="I120" s="146" t="s">
        <v>321</v>
      </c>
      <c r="J120" s="147" t="s">
        <v>321</v>
      </c>
    </row>
    <row r="121" spans="1:10" customFormat="1" ht="30" customHeight="1" x14ac:dyDescent="0.25">
      <c r="A121" s="71" t="s">
        <v>206</v>
      </c>
      <c r="B121" s="71" t="s">
        <v>230</v>
      </c>
      <c r="C121" s="90" t="s">
        <v>110</v>
      </c>
      <c r="D121" s="144" t="s">
        <v>261</v>
      </c>
      <c r="E121" s="148"/>
      <c r="F121" s="145" t="s">
        <v>309</v>
      </c>
      <c r="G121" s="146" t="s">
        <v>321</v>
      </c>
      <c r="H121" s="146" t="s">
        <v>321</v>
      </c>
      <c r="I121" s="146" t="s">
        <v>321</v>
      </c>
      <c r="J121" s="147" t="s">
        <v>321</v>
      </c>
    </row>
    <row r="122" spans="1:10" customFormat="1" ht="30" customHeight="1" x14ac:dyDescent="0.25">
      <c r="A122" s="71" t="s">
        <v>206</v>
      </c>
      <c r="B122" s="71" t="s">
        <v>230</v>
      </c>
      <c r="C122" s="90" t="s">
        <v>111</v>
      </c>
      <c r="D122" s="144" t="s">
        <v>261</v>
      </c>
      <c r="E122" s="148"/>
      <c r="F122" s="145" t="s">
        <v>309</v>
      </c>
      <c r="G122" s="146" t="s">
        <v>321</v>
      </c>
      <c r="H122" s="146" t="s">
        <v>321</v>
      </c>
      <c r="I122" s="146" t="s">
        <v>321</v>
      </c>
      <c r="J122" s="147" t="s">
        <v>321</v>
      </c>
    </row>
    <row r="123" spans="1:10" customFormat="1" ht="30" customHeight="1" x14ac:dyDescent="0.25">
      <c r="A123" s="71" t="s">
        <v>206</v>
      </c>
      <c r="B123" s="71" t="s">
        <v>230</v>
      </c>
      <c r="C123" s="90" t="s">
        <v>329</v>
      </c>
      <c r="D123" s="144" t="s">
        <v>261</v>
      </c>
      <c r="E123" s="148"/>
      <c r="F123" s="145" t="s">
        <v>309</v>
      </c>
      <c r="G123" s="146" t="s">
        <v>321</v>
      </c>
      <c r="H123" s="146" t="s">
        <v>321</v>
      </c>
      <c r="I123" s="146" t="s">
        <v>321</v>
      </c>
      <c r="J123" s="147" t="s">
        <v>321</v>
      </c>
    </row>
    <row r="124" spans="1:10" customFormat="1" ht="30" customHeight="1" x14ac:dyDescent="0.25">
      <c r="A124" s="71" t="s">
        <v>207</v>
      </c>
      <c r="B124" s="71" t="s">
        <v>231</v>
      </c>
      <c r="C124" s="90" t="s">
        <v>112</v>
      </c>
      <c r="D124" s="144" t="s">
        <v>261</v>
      </c>
      <c r="E124" s="148"/>
      <c r="F124" s="145" t="s">
        <v>309</v>
      </c>
      <c r="G124" s="146" t="s">
        <v>321</v>
      </c>
      <c r="H124" s="146" t="s">
        <v>321</v>
      </c>
      <c r="I124" s="146" t="s">
        <v>321</v>
      </c>
      <c r="J124" s="147" t="s">
        <v>321</v>
      </c>
    </row>
    <row r="125" spans="1:10" customFormat="1" ht="30" customHeight="1" x14ac:dyDescent="0.25">
      <c r="A125" s="71" t="s">
        <v>207</v>
      </c>
      <c r="B125" s="71" t="s">
        <v>231</v>
      </c>
      <c r="C125" s="90" t="s">
        <v>338</v>
      </c>
      <c r="D125" s="144" t="s">
        <v>261</v>
      </c>
      <c r="E125" s="148"/>
      <c r="F125" s="145" t="s">
        <v>309</v>
      </c>
      <c r="G125" s="146" t="s">
        <v>321</v>
      </c>
      <c r="H125" s="146" t="s">
        <v>321</v>
      </c>
      <c r="I125" s="146" t="s">
        <v>321</v>
      </c>
      <c r="J125" s="147" t="s">
        <v>321</v>
      </c>
    </row>
    <row r="126" spans="1:10" customFormat="1" ht="30" customHeight="1" x14ac:dyDescent="0.25">
      <c r="A126" s="71" t="s">
        <v>207</v>
      </c>
      <c r="B126" s="71" t="s">
        <v>231</v>
      </c>
      <c r="C126" s="90" t="s">
        <v>113</v>
      </c>
      <c r="D126" s="144" t="s">
        <v>261</v>
      </c>
      <c r="E126" s="148"/>
      <c r="F126" s="145" t="s">
        <v>309</v>
      </c>
      <c r="G126" s="146" t="s">
        <v>321</v>
      </c>
      <c r="H126" s="146" t="s">
        <v>321</v>
      </c>
      <c r="I126" s="146" t="s">
        <v>321</v>
      </c>
      <c r="J126" s="147" t="s">
        <v>321</v>
      </c>
    </row>
    <row r="127" spans="1:10" customFormat="1" ht="30" customHeight="1" x14ac:dyDescent="0.25">
      <c r="A127" s="71" t="s">
        <v>208</v>
      </c>
      <c r="B127" s="71" t="s">
        <v>232</v>
      </c>
      <c r="C127" s="90" t="s">
        <v>114</v>
      </c>
      <c r="D127" s="144" t="s">
        <v>261</v>
      </c>
      <c r="E127" s="148"/>
      <c r="F127" s="145" t="s">
        <v>309</v>
      </c>
      <c r="G127" s="146" t="s">
        <v>321</v>
      </c>
      <c r="H127" s="146" t="s">
        <v>321</v>
      </c>
      <c r="I127" s="146" t="s">
        <v>321</v>
      </c>
      <c r="J127" s="147" t="s">
        <v>321</v>
      </c>
    </row>
    <row r="128" spans="1:10" customFormat="1" ht="30" customHeight="1" x14ac:dyDescent="0.25">
      <c r="A128" s="71" t="s">
        <v>208</v>
      </c>
      <c r="B128" s="71" t="s">
        <v>232</v>
      </c>
      <c r="C128" s="90" t="s">
        <v>115</v>
      </c>
      <c r="D128" s="144" t="s">
        <v>261</v>
      </c>
      <c r="E128" s="148"/>
      <c r="F128" s="145" t="s">
        <v>309</v>
      </c>
      <c r="G128" s="146" t="s">
        <v>321</v>
      </c>
      <c r="H128" s="146" t="s">
        <v>321</v>
      </c>
      <c r="I128" s="146" t="s">
        <v>321</v>
      </c>
      <c r="J128" s="147" t="s">
        <v>321</v>
      </c>
    </row>
    <row r="129" spans="1:10" customFormat="1" ht="30" customHeight="1" x14ac:dyDescent="0.25">
      <c r="A129" s="71" t="s">
        <v>208</v>
      </c>
      <c r="B129" s="71" t="s">
        <v>232</v>
      </c>
      <c r="C129" s="90" t="s">
        <v>116</v>
      </c>
      <c r="D129" s="144" t="s">
        <v>261</v>
      </c>
      <c r="E129" s="148"/>
      <c r="F129" s="145" t="s">
        <v>309</v>
      </c>
      <c r="G129" s="146" t="s">
        <v>321</v>
      </c>
      <c r="H129" s="146" t="s">
        <v>321</v>
      </c>
      <c r="I129" s="146" t="s">
        <v>321</v>
      </c>
      <c r="J129" s="147" t="s">
        <v>321</v>
      </c>
    </row>
    <row r="130" spans="1:10" customFormat="1" ht="30" customHeight="1" x14ac:dyDescent="0.25">
      <c r="A130" s="71" t="s">
        <v>208</v>
      </c>
      <c r="B130" s="71" t="s">
        <v>232</v>
      </c>
      <c r="C130" s="90" t="s">
        <v>117</v>
      </c>
      <c r="D130" s="144" t="s">
        <v>261</v>
      </c>
      <c r="E130" s="148"/>
      <c r="F130" s="145" t="s">
        <v>309</v>
      </c>
      <c r="G130" s="146" t="s">
        <v>321</v>
      </c>
      <c r="H130" s="146" t="s">
        <v>321</v>
      </c>
      <c r="I130" s="146" t="s">
        <v>321</v>
      </c>
      <c r="J130" s="147" t="s">
        <v>321</v>
      </c>
    </row>
    <row r="131" spans="1:10" customFormat="1" ht="30" customHeight="1" x14ac:dyDescent="0.25">
      <c r="A131" s="71" t="s">
        <v>208</v>
      </c>
      <c r="B131" s="71" t="s">
        <v>232</v>
      </c>
      <c r="C131" s="90" t="s">
        <v>118</v>
      </c>
      <c r="D131" s="144" t="s">
        <v>261</v>
      </c>
      <c r="E131" s="148"/>
      <c r="F131" s="145" t="s">
        <v>309</v>
      </c>
      <c r="G131" s="146" t="s">
        <v>321</v>
      </c>
      <c r="H131" s="146" t="s">
        <v>321</v>
      </c>
      <c r="I131" s="146" t="s">
        <v>321</v>
      </c>
      <c r="J131" s="147" t="s">
        <v>321</v>
      </c>
    </row>
    <row r="132" spans="1:10" customFormat="1" ht="30" customHeight="1" x14ac:dyDescent="0.25">
      <c r="A132" s="71" t="s">
        <v>208</v>
      </c>
      <c r="B132" s="71" t="s">
        <v>233</v>
      </c>
      <c r="C132" s="90" t="s">
        <v>119</v>
      </c>
      <c r="D132" s="144" t="s">
        <v>261</v>
      </c>
      <c r="E132" s="148"/>
      <c r="F132" s="145" t="s">
        <v>309</v>
      </c>
      <c r="G132" s="146" t="s">
        <v>321</v>
      </c>
      <c r="H132" s="146" t="s">
        <v>321</v>
      </c>
      <c r="I132" s="146" t="s">
        <v>321</v>
      </c>
      <c r="J132" s="147" t="s">
        <v>321</v>
      </c>
    </row>
    <row r="133" spans="1:10" customFormat="1" ht="30" customHeight="1" x14ac:dyDescent="0.25">
      <c r="A133" s="71" t="s">
        <v>208</v>
      </c>
      <c r="B133" s="71" t="s">
        <v>233</v>
      </c>
      <c r="C133" s="90" t="s">
        <v>120</v>
      </c>
      <c r="D133" s="144" t="s">
        <v>261</v>
      </c>
      <c r="E133" s="148"/>
      <c r="F133" s="145" t="s">
        <v>309</v>
      </c>
      <c r="G133" s="146" t="s">
        <v>321</v>
      </c>
      <c r="H133" s="146" t="s">
        <v>321</v>
      </c>
      <c r="I133" s="146" t="s">
        <v>321</v>
      </c>
      <c r="J133" s="147" t="s">
        <v>321</v>
      </c>
    </row>
    <row r="134" spans="1:10" customFormat="1" ht="30" customHeight="1" x14ac:dyDescent="0.25">
      <c r="A134" s="71" t="s">
        <v>209</v>
      </c>
      <c r="B134" s="71" t="s">
        <v>234</v>
      </c>
      <c r="C134" s="90" t="s">
        <v>121</v>
      </c>
      <c r="D134" s="144" t="s">
        <v>261</v>
      </c>
      <c r="E134" s="148"/>
      <c r="F134" s="145" t="s">
        <v>309</v>
      </c>
      <c r="G134" s="146" t="s">
        <v>321</v>
      </c>
      <c r="H134" s="146" t="s">
        <v>321</v>
      </c>
      <c r="I134" s="146" t="s">
        <v>321</v>
      </c>
      <c r="J134" s="147" t="s">
        <v>321</v>
      </c>
    </row>
    <row r="135" spans="1:10" customFormat="1" ht="30" customHeight="1" x14ac:dyDescent="0.25">
      <c r="A135" s="71" t="s">
        <v>209</v>
      </c>
      <c r="B135" s="71" t="s">
        <v>234</v>
      </c>
      <c r="C135" s="90" t="s">
        <v>122</v>
      </c>
      <c r="D135" s="144" t="s">
        <v>261</v>
      </c>
      <c r="E135" s="148"/>
      <c r="F135" s="145" t="s">
        <v>309</v>
      </c>
      <c r="G135" s="146" t="s">
        <v>321</v>
      </c>
      <c r="H135" s="146" t="s">
        <v>321</v>
      </c>
      <c r="I135" s="146" t="s">
        <v>321</v>
      </c>
      <c r="J135" s="147" t="s">
        <v>321</v>
      </c>
    </row>
    <row r="136" spans="1:10" customFormat="1" ht="30" customHeight="1" x14ac:dyDescent="0.25">
      <c r="A136" s="71" t="s">
        <v>209</v>
      </c>
      <c r="B136" s="71" t="s">
        <v>234</v>
      </c>
      <c r="C136" s="90" t="s">
        <v>123</v>
      </c>
      <c r="D136" s="144" t="s">
        <v>261</v>
      </c>
      <c r="E136" s="148"/>
      <c r="F136" s="145" t="s">
        <v>309</v>
      </c>
      <c r="G136" s="146" t="s">
        <v>321</v>
      </c>
      <c r="H136" s="146" t="s">
        <v>321</v>
      </c>
      <c r="I136" s="146" t="s">
        <v>321</v>
      </c>
      <c r="J136" s="147" t="s">
        <v>321</v>
      </c>
    </row>
    <row r="137" spans="1:10" customFormat="1" ht="30" customHeight="1" x14ac:dyDescent="0.25">
      <c r="A137" s="71" t="s">
        <v>209</v>
      </c>
      <c r="B137" s="71" t="s">
        <v>235</v>
      </c>
      <c r="C137" s="90" t="s">
        <v>124</v>
      </c>
      <c r="D137" s="144" t="s">
        <v>261</v>
      </c>
      <c r="E137" s="148"/>
      <c r="F137" s="145" t="s">
        <v>309</v>
      </c>
      <c r="G137" s="146" t="s">
        <v>321</v>
      </c>
      <c r="H137" s="146" t="s">
        <v>321</v>
      </c>
      <c r="I137" s="146" t="s">
        <v>321</v>
      </c>
      <c r="J137" s="147" t="s">
        <v>321</v>
      </c>
    </row>
    <row r="138" spans="1:10" customFormat="1" ht="30" customHeight="1" x14ac:dyDescent="0.25">
      <c r="A138" s="71" t="s">
        <v>209</v>
      </c>
      <c r="B138" s="71" t="s">
        <v>236</v>
      </c>
      <c r="C138" s="90" t="s">
        <v>125</v>
      </c>
      <c r="D138" s="144" t="s">
        <v>261</v>
      </c>
      <c r="E138" s="148"/>
      <c r="F138" s="145" t="s">
        <v>309</v>
      </c>
      <c r="G138" s="146" t="s">
        <v>321</v>
      </c>
      <c r="H138" s="146" t="s">
        <v>321</v>
      </c>
      <c r="I138" s="146" t="s">
        <v>321</v>
      </c>
      <c r="J138" s="147" t="s">
        <v>321</v>
      </c>
    </row>
    <row r="139" spans="1:10" customFormat="1" ht="30" customHeight="1" x14ac:dyDescent="0.25">
      <c r="A139" s="71" t="s">
        <v>210</v>
      </c>
      <c r="B139" s="71" t="s">
        <v>237</v>
      </c>
      <c r="C139" s="90" t="s">
        <v>126</v>
      </c>
      <c r="D139" s="144" t="s">
        <v>261</v>
      </c>
      <c r="E139" s="148"/>
      <c r="F139" s="145" t="s">
        <v>309</v>
      </c>
      <c r="G139" s="146" t="s">
        <v>321</v>
      </c>
      <c r="H139" s="146" t="s">
        <v>321</v>
      </c>
      <c r="I139" s="146" t="s">
        <v>321</v>
      </c>
      <c r="J139" s="147" t="s">
        <v>321</v>
      </c>
    </row>
    <row r="140" spans="1:10" customFormat="1" ht="30" customHeight="1" x14ac:dyDescent="0.25">
      <c r="A140" s="71" t="s">
        <v>210</v>
      </c>
      <c r="B140" s="71" t="s">
        <v>237</v>
      </c>
      <c r="C140" s="90" t="s">
        <v>127</v>
      </c>
      <c r="D140" s="144" t="s">
        <v>261</v>
      </c>
      <c r="E140" s="148"/>
      <c r="F140" s="145" t="s">
        <v>309</v>
      </c>
      <c r="G140" s="146" t="s">
        <v>321</v>
      </c>
      <c r="H140" s="146" t="s">
        <v>321</v>
      </c>
      <c r="I140" s="146" t="s">
        <v>321</v>
      </c>
      <c r="J140" s="147" t="s">
        <v>321</v>
      </c>
    </row>
    <row r="141" spans="1:10" customFormat="1" ht="30" customHeight="1" x14ac:dyDescent="0.25">
      <c r="A141" s="71" t="s">
        <v>210</v>
      </c>
      <c r="B141" s="71" t="s">
        <v>237</v>
      </c>
      <c r="C141" s="90" t="s">
        <v>128</v>
      </c>
      <c r="D141" s="144" t="s">
        <v>261</v>
      </c>
      <c r="E141" s="148"/>
      <c r="F141" s="145" t="s">
        <v>309</v>
      </c>
      <c r="G141" s="146" t="s">
        <v>321</v>
      </c>
      <c r="H141" s="146" t="s">
        <v>321</v>
      </c>
      <c r="I141" s="146" t="s">
        <v>321</v>
      </c>
      <c r="J141" s="147" t="s">
        <v>321</v>
      </c>
    </row>
    <row r="142" spans="1:10" customFormat="1" ht="30" customHeight="1" x14ac:dyDescent="0.25">
      <c r="A142" s="71" t="s">
        <v>210</v>
      </c>
      <c r="B142" s="71" t="s">
        <v>237</v>
      </c>
      <c r="C142" s="90" t="s">
        <v>129</v>
      </c>
      <c r="D142" s="144" t="s">
        <v>261</v>
      </c>
      <c r="E142" s="148"/>
      <c r="F142" s="145" t="s">
        <v>309</v>
      </c>
      <c r="G142" s="146" t="s">
        <v>321</v>
      </c>
      <c r="H142" s="146" t="s">
        <v>321</v>
      </c>
      <c r="I142" s="146" t="s">
        <v>321</v>
      </c>
      <c r="J142" s="147" t="s">
        <v>321</v>
      </c>
    </row>
    <row r="143" spans="1:10" customFormat="1" ht="30" customHeight="1" x14ac:dyDescent="0.25">
      <c r="A143" s="71" t="s">
        <v>210</v>
      </c>
      <c r="B143" s="71" t="s">
        <v>237</v>
      </c>
      <c r="C143" s="90" t="s">
        <v>130</v>
      </c>
      <c r="D143" s="144" t="s">
        <v>261</v>
      </c>
      <c r="E143" s="148"/>
      <c r="F143" s="145" t="s">
        <v>309</v>
      </c>
      <c r="G143" s="146" t="s">
        <v>321</v>
      </c>
      <c r="H143" s="146" t="s">
        <v>321</v>
      </c>
      <c r="I143" s="146" t="s">
        <v>321</v>
      </c>
      <c r="J143" s="147" t="s">
        <v>321</v>
      </c>
    </row>
    <row r="144" spans="1:10" customFormat="1" ht="30" customHeight="1" x14ac:dyDescent="0.25">
      <c r="A144" s="71" t="s">
        <v>210</v>
      </c>
      <c r="B144" s="71" t="s">
        <v>238</v>
      </c>
      <c r="C144" s="90" t="s">
        <v>131</v>
      </c>
      <c r="D144" s="144" t="s">
        <v>261</v>
      </c>
      <c r="E144" s="148"/>
      <c r="F144" s="145" t="s">
        <v>309</v>
      </c>
      <c r="G144" s="146" t="s">
        <v>321</v>
      </c>
      <c r="H144" s="146" t="s">
        <v>321</v>
      </c>
      <c r="I144" s="146" t="s">
        <v>321</v>
      </c>
      <c r="J144" s="147" t="s">
        <v>321</v>
      </c>
    </row>
    <row r="145" spans="1:10" customFormat="1" ht="30" customHeight="1" x14ac:dyDescent="0.25">
      <c r="A145" s="71" t="s">
        <v>210</v>
      </c>
      <c r="B145" s="71" t="s">
        <v>238</v>
      </c>
      <c r="C145" s="90" t="s">
        <v>132</v>
      </c>
      <c r="D145" s="144" t="s">
        <v>261</v>
      </c>
      <c r="E145" s="148"/>
      <c r="F145" s="145" t="s">
        <v>309</v>
      </c>
      <c r="G145" s="146" t="s">
        <v>321</v>
      </c>
      <c r="H145" s="146" t="s">
        <v>321</v>
      </c>
      <c r="I145" s="146" t="s">
        <v>321</v>
      </c>
      <c r="J145" s="147" t="s">
        <v>321</v>
      </c>
    </row>
    <row r="146" spans="1:10" customFormat="1" ht="30" customHeight="1" x14ac:dyDescent="0.25">
      <c r="A146" s="71" t="s">
        <v>210</v>
      </c>
      <c r="B146" s="71" t="s">
        <v>238</v>
      </c>
      <c r="C146" s="90" t="s">
        <v>133</v>
      </c>
      <c r="D146" s="144" t="s">
        <v>261</v>
      </c>
      <c r="E146" s="148"/>
      <c r="F146" s="145" t="s">
        <v>309</v>
      </c>
      <c r="G146" s="146" t="s">
        <v>321</v>
      </c>
      <c r="H146" s="146" t="s">
        <v>321</v>
      </c>
      <c r="I146" s="146" t="s">
        <v>321</v>
      </c>
      <c r="J146" s="147" t="s">
        <v>321</v>
      </c>
    </row>
    <row r="147" spans="1:10" customFormat="1" ht="30" customHeight="1" x14ac:dyDescent="0.25">
      <c r="A147" s="71" t="s">
        <v>210</v>
      </c>
      <c r="B147" s="71" t="s">
        <v>238</v>
      </c>
      <c r="C147" s="90" t="s">
        <v>134</v>
      </c>
      <c r="D147" s="144" t="s">
        <v>261</v>
      </c>
      <c r="E147" s="148"/>
      <c r="F147" s="145" t="s">
        <v>309</v>
      </c>
      <c r="G147" s="146" t="s">
        <v>321</v>
      </c>
      <c r="H147" s="146" t="s">
        <v>321</v>
      </c>
      <c r="I147" s="146" t="s">
        <v>321</v>
      </c>
      <c r="J147" s="147" t="s">
        <v>321</v>
      </c>
    </row>
    <row r="148" spans="1:10" customFormat="1" ht="30" customHeight="1" x14ac:dyDescent="0.25">
      <c r="A148" s="71" t="s">
        <v>210</v>
      </c>
      <c r="B148" s="71" t="s">
        <v>238</v>
      </c>
      <c r="C148" s="90" t="s">
        <v>135</v>
      </c>
      <c r="D148" s="144" t="s">
        <v>261</v>
      </c>
      <c r="E148" s="148"/>
      <c r="F148" s="145" t="s">
        <v>309</v>
      </c>
      <c r="G148" s="146" t="s">
        <v>321</v>
      </c>
      <c r="H148" s="146" t="s">
        <v>321</v>
      </c>
      <c r="I148" s="146" t="s">
        <v>321</v>
      </c>
      <c r="J148" s="147" t="s">
        <v>321</v>
      </c>
    </row>
    <row r="149" spans="1:10" customFormat="1" ht="30" customHeight="1" x14ac:dyDescent="0.25">
      <c r="A149" s="71" t="s">
        <v>211</v>
      </c>
      <c r="B149" s="71" t="s">
        <v>239</v>
      </c>
      <c r="C149" s="90" t="s">
        <v>136</v>
      </c>
      <c r="D149" s="144" t="s">
        <v>261</v>
      </c>
      <c r="E149" s="148"/>
      <c r="F149" s="145" t="s">
        <v>309</v>
      </c>
      <c r="G149" s="146" t="s">
        <v>321</v>
      </c>
      <c r="H149" s="146" t="s">
        <v>321</v>
      </c>
      <c r="I149" s="146" t="s">
        <v>321</v>
      </c>
      <c r="J149" s="147" t="s">
        <v>321</v>
      </c>
    </row>
    <row r="150" spans="1:10" customFormat="1" ht="30" customHeight="1" x14ac:dyDescent="0.25">
      <c r="A150" s="71" t="s">
        <v>211</v>
      </c>
      <c r="B150" s="71" t="s">
        <v>239</v>
      </c>
      <c r="C150" s="90" t="s">
        <v>137</v>
      </c>
      <c r="D150" s="144" t="s">
        <v>261</v>
      </c>
      <c r="E150" s="148"/>
      <c r="F150" s="145" t="s">
        <v>309</v>
      </c>
      <c r="G150" s="146" t="s">
        <v>321</v>
      </c>
      <c r="H150" s="146" t="s">
        <v>321</v>
      </c>
      <c r="I150" s="146" t="s">
        <v>321</v>
      </c>
      <c r="J150" s="147" t="s">
        <v>321</v>
      </c>
    </row>
    <row r="151" spans="1:10" customFormat="1" ht="30" customHeight="1" x14ac:dyDescent="0.25">
      <c r="A151" s="71" t="s">
        <v>211</v>
      </c>
      <c r="B151" s="71" t="s">
        <v>239</v>
      </c>
      <c r="C151" s="90" t="s">
        <v>138</v>
      </c>
      <c r="D151" s="144" t="s">
        <v>261</v>
      </c>
      <c r="E151" s="148"/>
      <c r="F151" s="145" t="s">
        <v>309</v>
      </c>
      <c r="G151" s="146" t="s">
        <v>321</v>
      </c>
      <c r="H151" s="146" t="s">
        <v>321</v>
      </c>
      <c r="I151" s="146" t="s">
        <v>321</v>
      </c>
      <c r="J151" s="147" t="s">
        <v>321</v>
      </c>
    </row>
    <row r="152" spans="1:10" customFormat="1" ht="30" customHeight="1" x14ac:dyDescent="0.25">
      <c r="A152" s="71" t="s">
        <v>212</v>
      </c>
      <c r="B152" s="71" t="s">
        <v>240</v>
      </c>
      <c r="C152" s="90" t="s">
        <v>139</v>
      </c>
      <c r="D152" s="144" t="s">
        <v>261</v>
      </c>
      <c r="E152" s="148"/>
      <c r="F152" s="145" t="s">
        <v>309</v>
      </c>
      <c r="G152" s="146" t="s">
        <v>321</v>
      </c>
      <c r="H152" s="146" t="s">
        <v>321</v>
      </c>
      <c r="I152" s="146" t="s">
        <v>321</v>
      </c>
      <c r="J152" s="147" t="s">
        <v>321</v>
      </c>
    </row>
    <row r="153" spans="1:10" customFormat="1" ht="30" customHeight="1" x14ac:dyDescent="0.25">
      <c r="A153" s="71" t="s">
        <v>212</v>
      </c>
      <c r="B153" s="71" t="s">
        <v>240</v>
      </c>
      <c r="C153" s="90" t="s">
        <v>140</v>
      </c>
      <c r="D153" s="144" t="s">
        <v>261</v>
      </c>
      <c r="E153" s="148"/>
      <c r="F153" s="145" t="s">
        <v>309</v>
      </c>
      <c r="G153" s="146" t="s">
        <v>321</v>
      </c>
      <c r="H153" s="146" t="s">
        <v>321</v>
      </c>
      <c r="I153" s="146" t="s">
        <v>321</v>
      </c>
      <c r="J153" s="147" t="s">
        <v>321</v>
      </c>
    </row>
    <row r="154" spans="1:10" customFormat="1" ht="30" customHeight="1" x14ac:dyDescent="0.25">
      <c r="A154" s="71" t="s">
        <v>212</v>
      </c>
      <c r="B154" s="71" t="s">
        <v>240</v>
      </c>
      <c r="C154" s="90" t="s">
        <v>141</v>
      </c>
      <c r="D154" s="144" t="s">
        <v>261</v>
      </c>
      <c r="E154" s="148"/>
      <c r="F154" s="145" t="s">
        <v>309</v>
      </c>
      <c r="G154" s="146" t="s">
        <v>321</v>
      </c>
      <c r="H154" s="146" t="s">
        <v>321</v>
      </c>
      <c r="I154" s="146" t="s">
        <v>321</v>
      </c>
      <c r="J154" s="147" t="s">
        <v>321</v>
      </c>
    </row>
    <row r="155" spans="1:10" customFormat="1" ht="30" customHeight="1" x14ac:dyDescent="0.25">
      <c r="A155" s="71" t="s">
        <v>212</v>
      </c>
      <c r="B155" s="71" t="s">
        <v>240</v>
      </c>
      <c r="C155" s="90" t="s">
        <v>142</v>
      </c>
      <c r="D155" s="144" t="s">
        <v>261</v>
      </c>
      <c r="E155" s="148"/>
      <c r="F155" s="145" t="s">
        <v>309</v>
      </c>
      <c r="G155" s="146" t="s">
        <v>321</v>
      </c>
      <c r="H155" s="146" t="s">
        <v>321</v>
      </c>
      <c r="I155" s="146" t="s">
        <v>321</v>
      </c>
      <c r="J155" s="147" t="s">
        <v>321</v>
      </c>
    </row>
    <row r="156" spans="1:10" customFormat="1" ht="30" customHeight="1" x14ac:dyDescent="0.25">
      <c r="A156" s="71" t="s">
        <v>212</v>
      </c>
      <c r="B156" s="71" t="s">
        <v>240</v>
      </c>
      <c r="C156" s="90" t="s">
        <v>143</v>
      </c>
      <c r="D156" s="144" t="s">
        <v>261</v>
      </c>
      <c r="E156" s="148"/>
      <c r="F156" s="145" t="s">
        <v>309</v>
      </c>
      <c r="G156" s="146" t="s">
        <v>321</v>
      </c>
      <c r="H156" s="146" t="s">
        <v>321</v>
      </c>
      <c r="I156" s="146" t="s">
        <v>321</v>
      </c>
      <c r="J156" s="147" t="s">
        <v>321</v>
      </c>
    </row>
    <row r="157" spans="1:10" customFormat="1" ht="30" customHeight="1" x14ac:dyDescent="0.25">
      <c r="A157" s="71" t="s">
        <v>212</v>
      </c>
      <c r="B157" s="71" t="s">
        <v>240</v>
      </c>
      <c r="C157" s="90" t="s">
        <v>144</v>
      </c>
      <c r="D157" s="144" t="s">
        <v>261</v>
      </c>
      <c r="E157" s="148"/>
      <c r="F157" s="145" t="s">
        <v>309</v>
      </c>
      <c r="G157" s="146" t="s">
        <v>321</v>
      </c>
      <c r="H157" s="146" t="s">
        <v>321</v>
      </c>
      <c r="I157" s="146" t="s">
        <v>321</v>
      </c>
      <c r="J157" s="147" t="s">
        <v>321</v>
      </c>
    </row>
    <row r="158" spans="1:10" customFormat="1" ht="30" customHeight="1" x14ac:dyDescent="0.25">
      <c r="A158" s="71" t="s">
        <v>212</v>
      </c>
      <c r="B158" s="71" t="s">
        <v>240</v>
      </c>
      <c r="C158" s="90" t="s">
        <v>145</v>
      </c>
      <c r="D158" s="144" t="s">
        <v>261</v>
      </c>
      <c r="E158" s="148"/>
      <c r="F158" s="145" t="s">
        <v>309</v>
      </c>
      <c r="G158" s="146" t="s">
        <v>321</v>
      </c>
      <c r="H158" s="146" t="s">
        <v>321</v>
      </c>
      <c r="I158" s="146" t="s">
        <v>321</v>
      </c>
      <c r="J158" s="147" t="s">
        <v>321</v>
      </c>
    </row>
    <row r="159" spans="1:10" customFormat="1" ht="30" customHeight="1" x14ac:dyDescent="0.25">
      <c r="A159" s="71" t="s">
        <v>213</v>
      </c>
      <c r="B159" s="71" t="s">
        <v>241</v>
      </c>
      <c r="C159" s="90" t="s">
        <v>146</v>
      </c>
      <c r="D159" s="144" t="s">
        <v>261</v>
      </c>
      <c r="E159" s="148"/>
      <c r="F159" s="145" t="s">
        <v>309</v>
      </c>
      <c r="G159" s="146" t="s">
        <v>321</v>
      </c>
      <c r="H159" s="146" t="s">
        <v>321</v>
      </c>
      <c r="I159" s="146" t="s">
        <v>321</v>
      </c>
      <c r="J159" s="147" t="s">
        <v>321</v>
      </c>
    </row>
    <row r="160" spans="1:10" customFormat="1" ht="30" customHeight="1" x14ac:dyDescent="0.25">
      <c r="A160" s="71" t="s">
        <v>213</v>
      </c>
      <c r="B160" s="71" t="s">
        <v>241</v>
      </c>
      <c r="C160" s="90" t="s">
        <v>147</v>
      </c>
      <c r="D160" s="144" t="s">
        <v>261</v>
      </c>
      <c r="E160" s="148"/>
      <c r="F160" s="145" t="s">
        <v>309</v>
      </c>
      <c r="G160" s="146" t="s">
        <v>321</v>
      </c>
      <c r="H160" s="146" t="s">
        <v>321</v>
      </c>
      <c r="I160" s="146" t="s">
        <v>321</v>
      </c>
      <c r="J160" s="147" t="s">
        <v>321</v>
      </c>
    </row>
    <row r="161" spans="1:10" customFormat="1" ht="30" customHeight="1" x14ac:dyDescent="0.25">
      <c r="A161" s="71" t="s">
        <v>213</v>
      </c>
      <c r="B161" s="71" t="s">
        <v>241</v>
      </c>
      <c r="C161" s="90" t="s">
        <v>148</v>
      </c>
      <c r="D161" s="144" t="s">
        <v>261</v>
      </c>
      <c r="E161" s="148"/>
      <c r="F161" s="145" t="s">
        <v>309</v>
      </c>
      <c r="G161" s="146" t="s">
        <v>321</v>
      </c>
      <c r="H161" s="146" t="s">
        <v>321</v>
      </c>
      <c r="I161" s="146" t="s">
        <v>321</v>
      </c>
      <c r="J161" s="147" t="s">
        <v>321</v>
      </c>
    </row>
    <row r="162" spans="1:10" customFormat="1" ht="30" customHeight="1" x14ac:dyDescent="0.25">
      <c r="A162" s="71" t="s">
        <v>213</v>
      </c>
      <c r="B162" s="71" t="s">
        <v>241</v>
      </c>
      <c r="C162" s="90" t="s">
        <v>149</v>
      </c>
      <c r="D162" s="144" t="s">
        <v>261</v>
      </c>
      <c r="E162" s="148"/>
      <c r="F162" s="145" t="s">
        <v>309</v>
      </c>
      <c r="G162" s="146" t="s">
        <v>321</v>
      </c>
      <c r="H162" s="146" t="s">
        <v>321</v>
      </c>
      <c r="I162" s="146" t="s">
        <v>321</v>
      </c>
      <c r="J162" s="147" t="s">
        <v>321</v>
      </c>
    </row>
    <row r="163" spans="1:10" customFormat="1" ht="30" customHeight="1" x14ac:dyDescent="0.25">
      <c r="A163" s="71" t="s">
        <v>213</v>
      </c>
      <c r="B163" s="71" t="s">
        <v>241</v>
      </c>
      <c r="C163" s="90" t="s">
        <v>150</v>
      </c>
      <c r="D163" s="144" t="s">
        <v>261</v>
      </c>
      <c r="E163" s="148"/>
      <c r="F163" s="145" t="s">
        <v>309</v>
      </c>
      <c r="G163" s="146" t="s">
        <v>321</v>
      </c>
      <c r="H163" s="146" t="s">
        <v>321</v>
      </c>
      <c r="I163" s="146" t="s">
        <v>321</v>
      </c>
      <c r="J163" s="147" t="s">
        <v>321</v>
      </c>
    </row>
    <row r="164" spans="1:10" customFormat="1" ht="30" customHeight="1" x14ac:dyDescent="0.25">
      <c r="A164" s="71" t="s">
        <v>213</v>
      </c>
      <c r="B164" s="71" t="s">
        <v>241</v>
      </c>
      <c r="C164" s="90" t="s">
        <v>151</v>
      </c>
      <c r="D164" s="144" t="s">
        <v>261</v>
      </c>
      <c r="E164" s="148"/>
      <c r="F164" s="145" t="s">
        <v>309</v>
      </c>
      <c r="G164" s="146" t="s">
        <v>321</v>
      </c>
      <c r="H164" s="146" t="s">
        <v>321</v>
      </c>
      <c r="I164" s="146" t="s">
        <v>321</v>
      </c>
      <c r="J164" s="147" t="s">
        <v>321</v>
      </c>
    </row>
    <row r="165" spans="1:10" customFormat="1" ht="30" customHeight="1" x14ac:dyDescent="0.25">
      <c r="A165" s="71" t="s">
        <v>213</v>
      </c>
      <c r="B165" s="71" t="s">
        <v>241</v>
      </c>
      <c r="C165" s="90" t="s">
        <v>152</v>
      </c>
      <c r="D165" s="144" t="s">
        <v>261</v>
      </c>
      <c r="E165" s="148"/>
      <c r="F165" s="145" t="s">
        <v>309</v>
      </c>
      <c r="G165" s="146" t="s">
        <v>321</v>
      </c>
      <c r="H165" s="146" t="s">
        <v>321</v>
      </c>
      <c r="I165" s="146" t="s">
        <v>321</v>
      </c>
      <c r="J165" s="147" t="s">
        <v>321</v>
      </c>
    </row>
    <row r="166" spans="1:10" customFormat="1" ht="30" customHeight="1" x14ac:dyDescent="0.25">
      <c r="A166" s="71" t="s">
        <v>213</v>
      </c>
      <c r="B166" s="71" t="s">
        <v>241</v>
      </c>
      <c r="C166" s="90" t="s">
        <v>153</v>
      </c>
      <c r="D166" s="144" t="s">
        <v>261</v>
      </c>
      <c r="E166" s="148"/>
      <c r="F166" s="145" t="s">
        <v>309</v>
      </c>
      <c r="G166" s="146" t="s">
        <v>321</v>
      </c>
      <c r="H166" s="146" t="s">
        <v>321</v>
      </c>
      <c r="I166" s="146" t="s">
        <v>321</v>
      </c>
      <c r="J166" s="147" t="s">
        <v>321</v>
      </c>
    </row>
    <row r="167" spans="1:10" customFormat="1" ht="30" customHeight="1" x14ac:dyDescent="0.25">
      <c r="A167" s="71" t="s">
        <v>213</v>
      </c>
      <c r="B167" s="71" t="s">
        <v>242</v>
      </c>
      <c r="C167" s="90" t="s">
        <v>154</v>
      </c>
      <c r="D167" s="144" t="s">
        <v>261</v>
      </c>
      <c r="E167" s="148"/>
      <c r="F167" s="145" t="s">
        <v>309</v>
      </c>
      <c r="G167" s="146" t="s">
        <v>321</v>
      </c>
      <c r="H167" s="146" t="s">
        <v>321</v>
      </c>
      <c r="I167" s="146" t="s">
        <v>321</v>
      </c>
      <c r="J167" s="147" t="s">
        <v>321</v>
      </c>
    </row>
    <row r="168" spans="1:10" customFormat="1" ht="30" customHeight="1" x14ac:dyDescent="0.25">
      <c r="A168" s="71" t="s">
        <v>213</v>
      </c>
      <c r="B168" s="71" t="s">
        <v>242</v>
      </c>
      <c r="C168" s="90" t="s">
        <v>155</v>
      </c>
      <c r="D168" s="144" t="s">
        <v>261</v>
      </c>
      <c r="E168" s="148"/>
      <c r="F168" s="145" t="s">
        <v>309</v>
      </c>
      <c r="G168" s="146" t="s">
        <v>321</v>
      </c>
      <c r="H168" s="146" t="s">
        <v>321</v>
      </c>
      <c r="I168" s="146" t="s">
        <v>321</v>
      </c>
      <c r="J168" s="147" t="s">
        <v>321</v>
      </c>
    </row>
    <row r="169" spans="1:10" customFormat="1" ht="30" customHeight="1" x14ac:dyDescent="0.25">
      <c r="A169" s="71" t="s">
        <v>213</v>
      </c>
      <c r="B169" s="71" t="s">
        <v>243</v>
      </c>
      <c r="C169" s="90" t="s">
        <v>156</v>
      </c>
      <c r="D169" s="144" t="s">
        <v>261</v>
      </c>
      <c r="E169" s="148"/>
      <c r="F169" s="145" t="s">
        <v>309</v>
      </c>
      <c r="G169" s="146" t="s">
        <v>321</v>
      </c>
      <c r="H169" s="146" t="s">
        <v>321</v>
      </c>
      <c r="I169" s="146" t="s">
        <v>321</v>
      </c>
      <c r="J169" s="147" t="s">
        <v>321</v>
      </c>
    </row>
    <row r="170" spans="1:10" customFormat="1" ht="15.75" x14ac:dyDescent="0.25">
      <c r="A170" s="1"/>
      <c r="B170" s="1"/>
      <c r="C170" s="2"/>
      <c r="D170" s="7"/>
      <c r="E170" s="7"/>
      <c r="F170" s="70"/>
      <c r="G170" s="8"/>
      <c r="H170" s="8"/>
      <c r="I170" s="8"/>
      <c r="J170" s="8"/>
    </row>
    <row r="171" spans="1:10" customFormat="1" ht="15.75" x14ac:dyDescent="0.25">
      <c r="A171" s="4"/>
      <c r="B171" s="4"/>
      <c r="C171" s="3"/>
      <c r="D171" s="7"/>
      <c r="E171" s="7"/>
      <c r="F171" s="70"/>
      <c r="G171" s="8"/>
      <c r="H171" s="8"/>
      <c r="I171" s="8"/>
      <c r="J171" s="8"/>
    </row>
    <row r="172" spans="1:10" customFormat="1" x14ac:dyDescent="0.25">
      <c r="A172" s="4"/>
      <c r="B172" s="4"/>
      <c r="C172" s="2"/>
      <c r="D172" s="7"/>
      <c r="E172" s="7"/>
      <c r="F172" s="70"/>
      <c r="G172" s="8"/>
      <c r="H172" s="8"/>
      <c r="I172" s="8"/>
      <c r="J172" s="8"/>
    </row>
    <row r="173" spans="1:10" customFormat="1" x14ac:dyDescent="0.25">
      <c r="A173" s="4"/>
      <c r="B173" s="4"/>
      <c r="C173" s="2"/>
      <c r="D173" s="7"/>
      <c r="E173" s="7"/>
      <c r="F173" s="70"/>
      <c r="G173" s="8"/>
      <c r="H173" s="8"/>
      <c r="I173" s="8"/>
      <c r="J173" s="8"/>
    </row>
    <row r="174" spans="1:10" customFormat="1" x14ac:dyDescent="0.25">
      <c r="A174" s="4"/>
      <c r="B174" s="4"/>
      <c r="C174" s="2"/>
      <c r="D174" s="7"/>
      <c r="E174" s="7"/>
      <c r="F174" s="70"/>
      <c r="G174" s="8"/>
      <c r="H174" s="8"/>
      <c r="I174" s="8"/>
      <c r="J174" s="8"/>
    </row>
    <row r="175" spans="1:10" customFormat="1" x14ac:dyDescent="0.25">
      <c r="A175" s="4"/>
      <c r="B175" s="4"/>
      <c r="C175" s="2"/>
      <c r="D175" s="7"/>
      <c r="E175" s="7"/>
      <c r="F175" s="70"/>
      <c r="G175" s="8"/>
      <c r="H175" s="8"/>
      <c r="I175" s="8"/>
      <c r="J175" s="8"/>
    </row>
    <row r="176" spans="1:10" customFormat="1" x14ac:dyDescent="0.25">
      <c r="A176" s="4"/>
      <c r="B176" s="4"/>
      <c r="C176" s="2"/>
      <c r="D176" s="7"/>
      <c r="E176" s="7"/>
      <c r="F176" s="70"/>
      <c r="G176" s="8"/>
      <c r="H176" s="8"/>
      <c r="I176" s="8"/>
      <c r="J176" s="8"/>
    </row>
    <row r="177" spans="1:10" customFormat="1" x14ac:dyDescent="0.25">
      <c r="A177" s="4"/>
      <c r="B177" s="4"/>
      <c r="C177" s="2"/>
      <c r="D177" s="7"/>
      <c r="E177" s="7"/>
      <c r="F177" s="70"/>
      <c r="G177" s="8"/>
      <c r="H177" s="8"/>
      <c r="I177" s="8"/>
      <c r="J177" s="8"/>
    </row>
    <row r="178" spans="1:10" customFormat="1" x14ac:dyDescent="0.25">
      <c r="A178" s="4"/>
      <c r="B178" s="4"/>
      <c r="C178" s="2"/>
      <c r="D178" s="7"/>
      <c r="E178" s="7"/>
      <c r="F178" s="70"/>
      <c r="G178" s="8"/>
      <c r="H178" s="8"/>
      <c r="I178" s="8"/>
      <c r="J178" s="8"/>
    </row>
    <row r="179" spans="1:10" customFormat="1" x14ac:dyDescent="0.25">
      <c r="A179" s="4"/>
      <c r="B179" s="4"/>
      <c r="C179" s="2"/>
      <c r="D179" s="7"/>
      <c r="E179" s="7"/>
      <c r="F179" s="70"/>
      <c r="G179" s="8"/>
      <c r="H179" s="8"/>
      <c r="I179" s="8"/>
      <c r="J179" s="8"/>
    </row>
    <row r="180" spans="1:10" customFormat="1" x14ac:dyDescent="0.25">
      <c r="A180" s="4"/>
      <c r="B180" s="4"/>
      <c r="C180" s="2"/>
      <c r="D180" s="7"/>
      <c r="E180" s="7"/>
      <c r="F180" s="70"/>
      <c r="G180" s="8"/>
      <c r="H180" s="8"/>
      <c r="I180" s="8"/>
      <c r="J180" s="8"/>
    </row>
    <row r="181" spans="1:10" customFormat="1" x14ac:dyDescent="0.25">
      <c r="A181" s="4"/>
      <c r="B181" s="4"/>
      <c r="C181" s="2"/>
      <c r="D181" s="7"/>
      <c r="E181" s="7"/>
      <c r="F181" s="70"/>
      <c r="G181" s="8"/>
      <c r="H181" s="8"/>
      <c r="I181" s="8"/>
      <c r="J181" s="8"/>
    </row>
    <row r="182" spans="1:10" customFormat="1" x14ac:dyDescent="0.25">
      <c r="A182" s="4"/>
      <c r="B182" s="4"/>
      <c r="C182" s="2"/>
      <c r="D182" s="7"/>
      <c r="E182" s="7"/>
      <c r="F182" s="70"/>
      <c r="G182" s="8"/>
      <c r="H182" s="8"/>
      <c r="I182" s="8"/>
      <c r="J182" s="8"/>
    </row>
    <row r="183" spans="1:10" customFormat="1" x14ac:dyDescent="0.25">
      <c r="A183" s="4"/>
      <c r="B183" s="4"/>
      <c r="C183" s="2"/>
      <c r="D183" s="7"/>
      <c r="E183" s="7"/>
      <c r="F183" s="70"/>
      <c r="G183" s="8"/>
      <c r="H183" s="8"/>
      <c r="I183" s="8"/>
      <c r="J183" s="8"/>
    </row>
    <row r="184" spans="1:10" customFormat="1" x14ac:dyDescent="0.25">
      <c r="A184" s="4"/>
      <c r="B184" s="4"/>
      <c r="C184" s="2"/>
      <c r="D184" s="7"/>
      <c r="E184" s="7"/>
      <c r="F184" s="70"/>
      <c r="G184" s="8"/>
      <c r="H184" s="8"/>
      <c r="I184" s="8"/>
      <c r="J184" s="8"/>
    </row>
    <row r="185" spans="1:10" customFormat="1" x14ac:dyDescent="0.25">
      <c r="A185" s="4"/>
      <c r="B185" s="4"/>
      <c r="C185" s="2"/>
      <c r="D185" s="7"/>
      <c r="E185" s="7"/>
      <c r="F185" s="70"/>
      <c r="G185" s="8"/>
      <c r="H185" s="8"/>
      <c r="I185" s="8"/>
      <c r="J185" s="8"/>
    </row>
    <row r="186" spans="1:10" customFormat="1" x14ac:dyDescent="0.25">
      <c r="A186" s="4"/>
      <c r="B186" s="4"/>
      <c r="C186" s="2"/>
      <c r="D186" s="7"/>
      <c r="E186" s="7"/>
      <c r="F186" s="70"/>
      <c r="G186" s="8"/>
      <c r="H186" s="8"/>
      <c r="I186" s="8"/>
      <c r="J186" s="8"/>
    </row>
    <row r="187" spans="1:10" customFormat="1" x14ac:dyDescent="0.25">
      <c r="A187" s="4"/>
      <c r="B187" s="4"/>
      <c r="C187" s="2"/>
      <c r="D187" s="7"/>
      <c r="E187" s="7"/>
      <c r="F187" s="70"/>
      <c r="G187" s="8"/>
      <c r="H187" s="8"/>
      <c r="I187" s="8"/>
      <c r="J187" s="8"/>
    </row>
    <row r="188" spans="1:10" customFormat="1" x14ac:dyDescent="0.25">
      <c r="A188" s="4"/>
      <c r="B188" s="4"/>
      <c r="C188" s="2"/>
      <c r="D188" s="7"/>
      <c r="E188" s="7"/>
      <c r="F188" s="70"/>
      <c r="G188" s="8"/>
      <c r="H188" s="8"/>
      <c r="I188" s="8"/>
      <c r="J188" s="8"/>
    </row>
    <row r="189" spans="1:10" customFormat="1" x14ac:dyDescent="0.25">
      <c r="A189" s="4"/>
      <c r="B189" s="4"/>
      <c r="C189" s="2"/>
      <c r="D189" s="7"/>
      <c r="E189" s="7"/>
      <c r="F189" s="70"/>
      <c r="G189" s="8"/>
      <c r="H189" s="8"/>
      <c r="I189" s="8"/>
      <c r="J189" s="8"/>
    </row>
    <row r="190" spans="1:10" customFormat="1" x14ac:dyDescent="0.25">
      <c r="A190" s="4"/>
      <c r="B190" s="4"/>
      <c r="C190" s="2"/>
      <c r="D190" s="7"/>
      <c r="E190" s="7"/>
      <c r="F190" s="70"/>
      <c r="G190" s="8"/>
      <c r="H190" s="8"/>
      <c r="I190" s="8"/>
      <c r="J190" s="8"/>
    </row>
    <row r="191" spans="1:10" customFormat="1" x14ac:dyDescent="0.25">
      <c r="A191" s="4"/>
      <c r="B191" s="4"/>
      <c r="C191" s="2"/>
      <c r="D191" s="7"/>
      <c r="E191" s="7"/>
      <c r="F191" s="70"/>
      <c r="G191" s="8"/>
      <c r="H191" s="8"/>
      <c r="I191" s="8"/>
      <c r="J191" s="8"/>
    </row>
    <row r="192" spans="1:10" customFormat="1" x14ac:dyDescent="0.25">
      <c r="A192" s="4"/>
      <c r="B192" s="4"/>
      <c r="C192" s="2"/>
      <c r="D192" s="7"/>
      <c r="E192" s="7"/>
      <c r="F192" s="70"/>
      <c r="G192" s="8"/>
      <c r="H192" s="8"/>
      <c r="I192" s="8"/>
      <c r="J192" s="8"/>
    </row>
    <row r="193" spans="1:10" customFormat="1" x14ac:dyDescent="0.25">
      <c r="A193" s="4"/>
      <c r="B193" s="4"/>
      <c r="C193" s="2"/>
      <c r="D193" s="7"/>
      <c r="E193" s="7"/>
      <c r="F193" s="70"/>
      <c r="G193" s="8"/>
      <c r="H193" s="8"/>
      <c r="I193" s="8"/>
      <c r="J193" s="8"/>
    </row>
    <row r="194" spans="1:10" customFormat="1" x14ac:dyDescent="0.25">
      <c r="A194" s="4"/>
      <c r="B194" s="4"/>
      <c r="C194" s="2"/>
      <c r="D194" s="7"/>
      <c r="E194" s="7"/>
      <c r="F194" s="70"/>
      <c r="G194" s="8"/>
      <c r="H194" s="8"/>
      <c r="I194" s="8"/>
      <c r="J194" s="8"/>
    </row>
    <row r="195" spans="1:10" customFormat="1" x14ac:dyDescent="0.25">
      <c r="A195" s="4"/>
      <c r="B195" s="4"/>
      <c r="C195" s="2"/>
      <c r="D195" s="7"/>
      <c r="E195" s="7"/>
      <c r="F195" s="70"/>
      <c r="G195" s="8"/>
      <c r="H195" s="8"/>
      <c r="I195" s="8"/>
      <c r="J195" s="8"/>
    </row>
    <row r="196" spans="1:10" customFormat="1" x14ac:dyDescent="0.25">
      <c r="A196" s="4"/>
      <c r="B196" s="4"/>
      <c r="C196" s="2"/>
      <c r="D196" s="7"/>
      <c r="E196" s="7"/>
      <c r="F196" s="70"/>
      <c r="G196" s="8"/>
      <c r="H196" s="8"/>
      <c r="I196" s="8"/>
      <c r="J196" s="8"/>
    </row>
    <row r="197" spans="1:10" customFormat="1" x14ac:dyDescent="0.25">
      <c r="A197" s="4"/>
      <c r="B197" s="4"/>
      <c r="C197" s="2"/>
      <c r="D197" s="7"/>
      <c r="E197" s="7"/>
      <c r="F197" s="70"/>
      <c r="G197" s="8"/>
      <c r="H197" s="8"/>
      <c r="I197" s="8"/>
      <c r="J197" s="8"/>
    </row>
    <row r="198" spans="1:10" customFormat="1" x14ac:dyDescent="0.25">
      <c r="A198" s="4"/>
      <c r="B198" s="4"/>
      <c r="C198" s="2"/>
      <c r="D198" s="7"/>
      <c r="E198" s="7"/>
      <c r="F198" s="70"/>
      <c r="G198" s="8"/>
      <c r="H198" s="8"/>
      <c r="I198" s="8"/>
      <c r="J198" s="8"/>
    </row>
    <row r="199" spans="1:10" customFormat="1" x14ac:dyDescent="0.25">
      <c r="A199" s="4"/>
      <c r="B199" s="4"/>
      <c r="C199" s="2"/>
      <c r="D199" s="7"/>
      <c r="E199" s="7"/>
      <c r="F199" s="70"/>
      <c r="G199" s="8"/>
      <c r="H199" s="8"/>
      <c r="I199" s="8"/>
      <c r="J199" s="8"/>
    </row>
    <row r="200" spans="1:10" customFormat="1" x14ac:dyDescent="0.25">
      <c r="A200" s="4"/>
      <c r="B200" s="4"/>
      <c r="C200" s="2"/>
      <c r="D200" s="7"/>
      <c r="E200" s="7"/>
      <c r="F200" s="70"/>
      <c r="G200" s="8"/>
      <c r="H200" s="8"/>
      <c r="I200" s="8"/>
      <c r="J200" s="8"/>
    </row>
    <row r="201" spans="1:10" customFormat="1" x14ac:dyDescent="0.25">
      <c r="A201" s="4"/>
      <c r="B201" s="4"/>
      <c r="C201" s="2"/>
      <c r="D201" s="7"/>
      <c r="E201" s="7"/>
      <c r="F201" s="70"/>
      <c r="G201" s="8"/>
      <c r="H201" s="8"/>
      <c r="I201" s="8"/>
      <c r="J201" s="8"/>
    </row>
    <row r="202" spans="1:10" customFormat="1" x14ac:dyDescent="0.25">
      <c r="A202" s="4"/>
      <c r="B202" s="4"/>
      <c r="C202" s="2"/>
      <c r="D202" s="7"/>
      <c r="E202" s="7"/>
      <c r="F202" s="70"/>
      <c r="G202" s="8"/>
      <c r="H202" s="8"/>
      <c r="I202" s="8"/>
      <c r="J202" s="8"/>
    </row>
    <row r="203" spans="1:10" customFormat="1" x14ac:dyDescent="0.25">
      <c r="A203" s="4"/>
      <c r="B203" s="4"/>
      <c r="C203" s="2"/>
      <c r="D203" s="7"/>
      <c r="E203" s="7"/>
      <c r="F203" s="70"/>
      <c r="G203" s="8"/>
      <c r="H203" s="8"/>
      <c r="I203" s="8"/>
      <c r="J203" s="8"/>
    </row>
    <row r="204" spans="1:10" customFormat="1" x14ac:dyDescent="0.25">
      <c r="A204" s="4"/>
      <c r="B204" s="4"/>
      <c r="C204" s="2"/>
      <c r="D204" s="7"/>
      <c r="E204" s="7"/>
      <c r="F204" s="70"/>
      <c r="G204" s="8"/>
      <c r="H204" s="8"/>
      <c r="I204" s="8"/>
      <c r="J204" s="8"/>
    </row>
    <row r="205" spans="1:10" customFormat="1" x14ac:dyDescent="0.25">
      <c r="A205" s="4"/>
      <c r="B205" s="4"/>
      <c r="C205" s="2"/>
      <c r="D205" s="7"/>
      <c r="E205" s="7"/>
      <c r="F205" s="70"/>
      <c r="G205" s="8"/>
      <c r="H205" s="8"/>
      <c r="I205" s="8"/>
      <c r="J205" s="8"/>
    </row>
    <row r="206" spans="1:10" customFormat="1" x14ac:dyDescent="0.25">
      <c r="A206" s="4"/>
      <c r="B206" s="4"/>
      <c r="C206" s="2"/>
      <c r="D206" s="7"/>
      <c r="E206" s="7"/>
      <c r="F206" s="70"/>
      <c r="G206" s="8"/>
      <c r="H206" s="8"/>
      <c r="I206" s="8"/>
      <c r="J206" s="8"/>
    </row>
    <row r="207" spans="1:10" customFormat="1" x14ac:dyDescent="0.25">
      <c r="A207" s="4"/>
      <c r="B207" s="4"/>
      <c r="C207" s="2"/>
      <c r="D207" s="7"/>
      <c r="E207" s="7"/>
      <c r="F207" s="70"/>
      <c r="G207" s="8"/>
      <c r="H207" s="8"/>
      <c r="I207" s="8"/>
      <c r="J207" s="8"/>
    </row>
    <row r="208" spans="1:10" customFormat="1" x14ac:dyDescent="0.25">
      <c r="A208" s="4"/>
      <c r="B208" s="4"/>
      <c r="C208" s="2"/>
      <c r="D208" s="7"/>
      <c r="E208" s="7"/>
      <c r="F208" s="70"/>
      <c r="G208" s="8"/>
      <c r="H208" s="8"/>
      <c r="I208" s="8"/>
      <c r="J208" s="8"/>
    </row>
    <row r="209" spans="1:10" customFormat="1" x14ac:dyDescent="0.25">
      <c r="A209" s="4"/>
      <c r="B209" s="4"/>
      <c r="C209" s="2"/>
      <c r="D209" s="7"/>
      <c r="E209" s="7"/>
      <c r="F209" s="70"/>
      <c r="G209" s="8"/>
      <c r="H209" s="8"/>
      <c r="I209" s="8"/>
      <c r="J209" s="8"/>
    </row>
    <row r="210" spans="1:10" customFormat="1" x14ac:dyDescent="0.25">
      <c r="A210" s="4"/>
      <c r="B210" s="4"/>
      <c r="C210" s="2"/>
      <c r="D210" s="7"/>
      <c r="E210" s="7"/>
      <c r="F210" s="70"/>
      <c r="G210" s="8"/>
      <c r="H210" s="8"/>
      <c r="I210" s="8"/>
      <c r="J210" s="8"/>
    </row>
    <row r="211" spans="1:10" customFormat="1" x14ac:dyDescent="0.25">
      <c r="A211" s="4"/>
      <c r="B211" s="4"/>
      <c r="C211" s="2"/>
      <c r="D211" s="7"/>
      <c r="E211" s="7"/>
      <c r="F211" s="70"/>
      <c r="G211" s="8"/>
      <c r="H211" s="8"/>
      <c r="I211" s="8"/>
      <c r="J211" s="8"/>
    </row>
    <row r="212" spans="1:10" customFormat="1" x14ac:dyDescent="0.25">
      <c r="A212" s="4"/>
      <c r="B212" s="4"/>
      <c r="C212" s="2"/>
      <c r="D212" s="7"/>
      <c r="E212" s="7"/>
      <c r="F212" s="70"/>
      <c r="G212" s="8"/>
      <c r="H212" s="8"/>
      <c r="I212" s="8"/>
      <c r="J212" s="8"/>
    </row>
    <row r="213" spans="1:10" customFormat="1" x14ac:dyDescent="0.25">
      <c r="A213" s="4"/>
      <c r="B213" s="4"/>
      <c r="C213" s="2"/>
      <c r="D213" s="7"/>
      <c r="E213" s="7"/>
      <c r="F213" s="70"/>
      <c r="G213" s="8"/>
      <c r="H213" s="8"/>
      <c r="I213" s="8"/>
      <c r="J213" s="8"/>
    </row>
    <row r="214" spans="1:10" customFormat="1" x14ac:dyDescent="0.25">
      <c r="A214" s="4"/>
      <c r="B214" s="4"/>
      <c r="C214" s="2"/>
      <c r="D214" s="7"/>
      <c r="E214" s="7"/>
      <c r="F214" s="70"/>
      <c r="G214" s="8"/>
      <c r="H214" s="8"/>
      <c r="I214" s="8"/>
      <c r="J214" s="8"/>
    </row>
    <row r="215" spans="1:10" customFormat="1" x14ac:dyDescent="0.25">
      <c r="A215" s="4"/>
      <c r="B215" s="4"/>
      <c r="C215" s="2"/>
      <c r="D215" s="7"/>
      <c r="E215" s="7"/>
      <c r="F215" s="70"/>
      <c r="G215" s="8"/>
      <c r="H215" s="8"/>
      <c r="I215" s="8"/>
      <c r="J215" s="8"/>
    </row>
    <row r="216" spans="1:10" customFormat="1" x14ac:dyDescent="0.25">
      <c r="A216" s="4"/>
      <c r="B216" s="4"/>
      <c r="C216" s="2"/>
      <c r="D216" s="7"/>
      <c r="E216" s="7"/>
      <c r="F216" s="70"/>
      <c r="G216" s="8"/>
      <c r="H216" s="8"/>
      <c r="I216" s="8"/>
      <c r="J216" s="8"/>
    </row>
    <row r="217" spans="1:10" customFormat="1" x14ac:dyDescent="0.25">
      <c r="A217" s="4"/>
      <c r="B217" s="4"/>
      <c r="C217" s="2"/>
      <c r="D217" s="7"/>
      <c r="E217" s="7"/>
      <c r="F217" s="70"/>
      <c r="G217" s="8"/>
      <c r="H217" s="8"/>
      <c r="I217" s="8"/>
      <c r="J217" s="8"/>
    </row>
    <row r="218" spans="1:10" customFormat="1" x14ac:dyDescent="0.25">
      <c r="A218" s="4"/>
      <c r="B218" s="4"/>
      <c r="C218" s="2"/>
      <c r="D218" s="7"/>
      <c r="E218" s="7"/>
      <c r="F218" s="70"/>
      <c r="G218" s="8"/>
      <c r="H218" s="8"/>
      <c r="I218" s="8"/>
      <c r="J218" s="8"/>
    </row>
    <row r="219" spans="1:10" customFormat="1" x14ac:dyDescent="0.25">
      <c r="A219" s="4"/>
      <c r="B219" s="4"/>
      <c r="C219" s="2"/>
      <c r="D219" s="7"/>
      <c r="E219" s="7"/>
      <c r="F219" s="70"/>
      <c r="G219" s="8"/>
      <c r="H219" s="8"/>
      <c r="I219" s="8"/>
      <c r="J219" s="8"/>
    </row>
    <row r="220" spans="1:10" customFormat="1" x14ac:dyDescent="0.25">
      <c r="A220" s="4"/>
      <c r="B220" s="4"/>
      <c r="C220" s="2"/>
      <c r="D220" s="7"/>
      <c r="E220" s="7"/>
      <c r="F220" s="70"/>
      <c r="G220" s="8"/>
      <c r="H220" s="8"/>
      <c r="I220" s="8"/>
      <c r="J220" s="8"/>
    </row>
    <row r="221" spans="1:10" customFormat="1" x14ac:dyDescent="0.25">
      <c r="A221" s="4"/>
      <c r="B221" s="4"/>
      <c r="C221" s="2"/>
      <c r="D221" s="7"/>
      <c r="E221" s="7"/>
      <c r="F221" s="70"/>
      <c r="G221" s="8"/>
      <c r="H221" s="8"/>
      <c r="I221" s="8"/>
      <c r="J221" s="8"/>
    </row>
    <row r="222" spans="1:10" customFormat="1" x14ac:dyDescent="0.25">
      <c r="A222" s="4"/>
      <c r="B222" s="4"/>
      <c r="C222" s="2"/>
      <c r="D222" s="7"/>
      <c r="E222" s="7"/>
      <c r="F222" s="70"/>
      <c r="G222" s="8"/>
      <c r="H222" s="8"/>
      <c r="I222" s="8"/>
      <c r="J222" s="8"/>
    </row>
    <row r="223" spans="1:10" customFormat="1" x14ac:dyDescent="0.25">
      <c r="A223" s="4"/>
      <c r="B223" s="4"/>
      <c r="C223" s="2"/>
      <c r="D223" s="7"/>
      <c r="E223" s="7"/>
      <c r="F223" s="70"/>
      <c r="G223" s="8"/>
      <c r="H223" s="8"/>
      <c r="I223" s="8"/>
      <c r="J223" s="8"/>
    </row>
    <row r="224" spans="1:10" customFormat="1" x14ac:dyDescent="0.25">
      <c r="A224" s="4"/>
      <c r="B224" s="4"/>
      <c r="C224" s="2"/>
      <c r="D224" s="7"/>
      <c r="E224" s="7"/>
      <c r="F224" s="70"/>
      <c r="G224" s="8"/>
      <c r="H224" s="8"/>
      <c r="I224" s="8"/>
      <c r="J224" s="8"/>
    </row>
    <row r="225" spans="1:10" customFormat="1" x14ac:dyDescent="0.25">
      <c r="A225" s="4"/>
      <c r="B225" s="4"/>
      <c r="C225" s="2"/>
      <c r="D225" s="7"/>
      <c r="E225" s="7"/>
      <c r="F225" s="70"/>
      <c r="G225" s="8"/>
      <c r="H225" s="8"/>
      <c r="I225" s="8"/>
      <c r="J225" s="8"/>
    </row>
    <row r="226" spans="1:10" customFormat="1" x14ac:dyDescent="0.25">
      <c r="A226" s="4"/>
      <c r="B226" s="4"/>
      <c r="C226" s="2"/>
      <c r="D226" s="7"/>
      <c r="E226" s="7"/>
      <c r="F226" s="70"/>
      <c r="G226" s="8"/>
      <c r="H226" s="8"/>
      <c r="I226" s="8"/>
      <c r="J226" s="8"/>
    </row>
    <row r="227" spans="1:10" customFormat="1" x14ac:dyDescent="0.25">
      <c r="A227" s="4"/>
      <c r="B227" s="4"/>
      <c r="C227" s="2"/>
      <c r="D227" s="7"/>
      <c r="E227" s="7"/>
      <c r="F227" s="70"/>
      <c r="G227" s="8"/>
      <c r="H227" s="8"/>
      <c r="I227" s="8"/>
      <c r="J227" s="8"/>
    </row>
    <row r="228" spans="1:10" customFormat="1" x14ac:dyDescent="0.25">
      <c r="A228" s="4"/>
      <c r="B228" s="4"/>
      <c r="C228" s="2"/>
      <c r="D228" s="7"/>
      <c r="E228" s="7"/>
      <c r="F228" s="70"/>
      <c r="G228" s="8"/>
      <c r="H228" s="8"/>
      <c r="I228" s="8"/>
      <c r="J228" s="8"/>
    </row>
    <row r="229" spans="1:10" customFormat="1" x14ac:dyDescent="0.25">
      <c r="A229" s="4"/>
      <c r="B229" s="4"/>
      <c r="C229" s="2"/>
      <c r="D229" s="7"/>
      <c r="E229" s="7"/>
      <c r="F229" s="70"/>
      <c r="G229" s="8"/>
      <c r="H229" s="8"/>
      <c r="I229" s="8"/>
      <c r="J229" s="8"/>
    </row>
    <row r="230" spans="1:10" customFormat="1" x14ac:dyDescent="0.25">
      <c r="A230" s="4"/>
      <c r="B230" s="4"/>
      <c r="C230" s="2"/>
      <c r="D230" s="7"/>
      <c r="E230" s="7"/>
      <c r="F230" s="70"/>
      <c r="G230" s="8"/>
      <c r="H230" s="8"/>
      <c r="I230" s="8"/>
      <c r="J230" s="8"/>
    </row>
    <row r="231" spans="1:10" customFormat="1" x14ac:dyDescent="0.25">
      <c r="A231" s="4"/>
      <c r="B231" s="4"/>
      <c r="C231" s="2"/>
      <c r="D231" s="7"/>
      <c r="E231" s="7"/>
      <c r="F231" s="70"/>
      <c r="G231" s="8"/>
      <c r="H231" s="8"/>
      <c r="I231" s="8"/>
      <c r="J231" s="8"/>
    </row>
    <row r="232" spans="1:10" customFormat="1" x14ac:dyDescent="0.25">
      <c r="A232" s="4"/>
      <c r="B232" s="4"/>
      <c r="C232" s="2"/>
      <c r="D232" s="7"/>
      <c r="E232" s="7"/>
      <c r="F232" s="70"/>
      <c r="G232" s="8"/>
      <c r="H232" s="8"/>
      <c r="I232" s="8"/>
      <c r="J232" s="8"/>
    </row>
    <row r="233" spans="1:10" customFormat="1" x14ac:dyDescent="0.25">
      <c r="A233" s="4"/>
      <c r="B233" s="4"/>
      <c r="C233" s="2"/>
      <c r="D233" s="7"/>
      <c r="E233" s="7"/>
      <c r="F233" s="70"/>
      <c r="G233" s="8"/>
      <c r="H233" s="8"/>
      <c r="I233" s="8"/>
      <c r="J233" s="8"/>
    </row>
    <row r="234" spans="1:10" customFormat="1" x14ac:dyDescent="0.25">
      <c r="A234" s="4"/>
      <c r="B234" s="4"/>
      <c r="C234" s="2"/>
      <c r="D234" s="7"/>
      <c r="E234" s="7"/>
      <c r="F234" s="70"/>
      <c r="G234" s="8"/>
      <c r="H234" s="8"/>
      <c r="I234" s="8"/>
      <c r="J234" s="8"/>
    </row>
    <row r="235" spans="1:10" customFormat="1" x14ac:dyDescent="0.25">
      <c r="A235" s="4"/>
      <c r="B235" s="4"/>
      <c r="C235" s="2"/>
      <c r="D235" s="7"/>
      <c r="E235" s="7"/>
      <c r="F235" s="70"/>
      <c r="G235" s="8"/>
      <c r="H235" s="8"/>
      <c r="I235" s="8"/>
      <c r="J235" s="8"/>
    </row>
    <row r="236" spans="1:10" customFormat="1" x14ac:dyDescent="0.25">
      <c r="A236" s="4"/>
      <c r="B236" s="4"/>
      <c r="C236" s="2"/>
      <c r="D236" s="7"/>
      <c r="E236" s="7"/>
      <c r="F236" s="70"/>
      <c r="G236" s="8"/>
      <c r="H236" s="8"/>
      <c r="I236" s="8"/>
      <c r="J236" s="8"/>
    </row>
    <row r="237" spans="1:10" customFormat="1" x14ac:dyDescent="0.25">
      <c r="A237" s="4"/>
      <c r="B237" s="4"/>
      <c r="C237" s="2"/>
      <c r="D237" s="7"/>
      <c r="E237" s="7"/>
      <c r="F237" s="70"/>
      <c r="G237" s="8"/>
      <c r="H237" s="8"/>
      <c r="I237" s="8"/>
      <c r="J237" s="8"/>
    </row>
    <row r="238" spans="1:10" customFormat="1" x14ac:dyDescent="0.25">
      <c r="A238" s="4"/>
      <c r="B238" s="4"/>
      <c r="C238" s="2"/>
      <c r="D238" s="7"/>
      <c r="E238" s="7"/>
      <c r="F238" s="70"/>
      <c r="G238" s="8"/>
      <c r="H238" s="8"/>
      <c r="I238" s="8"/>
      <c r="J238" s="8"/>
    </row>
    <row r="239" spans="1:10" customFormat="1" x14ac:dyDescent="0.25">
      <c r="A239" s="4"/>
      <c r="B239" s="4"/>
      <c r="C239" s="2"/>
      <c r="D239" s="7"/>
      <c r="E239" s="7"/>
      <c r="F239" s="70"/>
      <c r="G239" s="8"/>
      <c r="H239" s="8"/>
      <c r="I239" s="8"/>
      <c r="J239" s="8"/>
    </row>
    <row r="240" spans="1:10" customFormat="1" x14ac:dyDescent="0.25">
      <c r="A240" s="4"/>
      <c r="B240" s="4"/>
      <c r="C240" s="2"/>
      <c r="D240" s="7"/>
      <c r="E240" s="7"/>
      <c r="F240" s="70"/>
      <c r="G240" s="8"/>
      <c r="H240" s="8"/>
      <c r="I240" s="8"/>
      <c r="J240" s="8"/>
    </row>
    <row r="241" spans="1:10" customFormat="1" x14ac:dyDescent="0.25">
      <c r="A241" s="4"/>
      <c r="B241" s="4"/>
      <c r="C241" s="2"/>
      <c r="D241" s="7"/>
      <c r="E241" s="7"/>
      <c r="F241" s="70"/>
      <c r="G241" s="8"/>
      <c r="H241" s="8"/>
      <c r="I241" s="8"/>
      <c r="J241" s="8"/>
    </row>
    <row r="242" spans="1:10" customFormat="1" x14ac:dyDescent="0.25">
      <c r="A242" s="4"/>
      <c r="B242" s="4"/>
      <c r="C242" s="2"/>
      <c r="D242" s="7"/>
      <c r="E242" s="7"/>
      <c r="F242" s="70"/>
      <c r="G242" s="8"/>
      <c r="H242" s="8"/>
      <c r="I242" s="8"/>
      <c r="J242" s="8"/>
    </row>
    <row r="243" spans="1:10" customFormat="1" x14ac:dyDescent="0.25">
      <c r="A243" s="4"/>
      <c r="B243" s="4"/>
      <c r="C243" s="2"/>
      <c r="D243" s="7"/>
      <c r="E243" s="7"/>
      <c r="F243" s="70"/>
      <c r="G243" s="8"/>
      <c r="H243" s="8"/>
      <c r="I243" s="8"/>
      <c r="J243" s="8"/>
    </row>
    <row r="244" spans="1:10" customFormat="1" x14ac:dyDescent="0.25">
      <c r="A244" s="4"/>
      <c r="B244" s="4"/>
      <c r="C244" s="2"/>
      <c r="D244" s="7"/>
      <c r="E244" s="7"/>
      <c r="F244" s="70"/>
      <c r="G244" s="8"/>
      <c r="H244" s="8"/>
      <c r="I244" s="8"/>
      <c r="J244" s="8"/>
    </row>
    <row r="245" spans="1:10" customFormat="1" x14ac:dyDescent="0.25">
      <c r="A245" s="4"/>
      <c r="B245" s="4"/>
      <c r="C245" s="2"/>
      <c r="D245" s="7"/>
      <c r="E245" s="7"/>
      <c r="F245" s="70"/>
      <c r="G245" s="8"/>
      <c r="H245" s="8"/>
      <c r="I245" s="8"/>
      <c r="J245" s="8"/>
    </row>
    <row r="246" spans="1:10" customFormat="1" x14ac:dyDescent="0.25">
      <c r="A246" s="4"/>
      <c r="B246" s="4"/>
      <c r="C246" s="2"/>
      <c r="D246" s="7"/>
      <c r="E246" s="7"/>
      <c r="F246" s="70"/>
      <c r="G246" s="8"/>
      <c r="H246" s="8"/>
      <c r="I246" s="8"/>
      <c r="J246" s="8"/>
    </row>
    <row r="247" spans="1:10" customFormat="1" x14ac:dyDescent="0.25">
      <c r="A247" s="4"/>
      <c r="B247" s="4"/>
      <c r="C247" s="2"/>
      <c r="D247" s="7"/>
      <c r="E247" s="7"/>
      <c r="F247" s="70"/>
      <c r="G247" s="8"/>
      <c r="H247" s="8"/>
      <c r="I247" s="8"/>
      <c r="J247" s="8"/>
    </row>
    <row r="248" spans="1:10" customFormat="1" x14ac:dyDescent="0.25">
      <c r="A248" s="4"/>
      <c r="B248" s="4"/>
      <c r="C248" s="2"/>
      <c r="D248" s="7"/>
      <c r="E248" s="7"/>
      <c r="F248" s="70"/>
      <c r="G248" s="8"/>
      <c r="H248" s="8"/>
      <c r="I248" s="8"/>
      <c r="J248" s="8"/>
    </row>
    <row r="249" spans="1:10" customFormat="1" x14ac:dyDescent="0.25">
      <c r="A249" s="4"/>
      <c r="B249" s="4"/>
      <c r="C249" s="2"/>
      <c r="D249" s="7"/>
      <c r="E249" s="7"/>
      <c r="F249" s="70"/>
      <c r="G249" s="8"/>
      <c r="H249" s="8"/>
      <c r="I249" s="8"/>
      <c r="J249" s="8"/>
    </row>
    <row r="250" spans="1:10" customFormat="1" x14ac:dyDescent="0.25">
      <c r="A250" s="4"/>
      <c r="B250" s="4"/>
      <c r="C250" s="2"/>
      <c r="D250" s="7"/>
      <c r="E250" s="7"/>
      <c r="F250" s="70"/>
      <c r="G250" s="8"/>
      <c r="H250" s="8"/>
      <c r="I250" s="8"/>
      <c r="J250" s="8"/>
    </row>
    <row r="251" spans="1:10" customFormat="1" x14ac:dyDescent="0.25">
      <c r="A251" s="4"/>
      <c r="B251" s="4"/>
      <c r="C251" s="2"/>
      <c r="D251" s="7"/>
      <c r="E251" s="7"/>
      <c r="F251" s="70"/>
      <c r="G251" s="8"/>
      <c r="H251" s="8"/>
      <c r="I251" s="8"/>
      <c r="J251" s="8"/>
    </row>
    <row r="252" spans="1:10" customFormat="1" x14ac:dyDescent="0.25">
      <c r="A252" s="4"/>
      <c r="B252" s="4"/>
      <c r="C252" s="2"/>
      <c r="D252" s="7"/>
      <c r="E252" s="7"/>
      <c r="F252" s="70"/>
      <c r="G252" s="8"/>
      <c r="H252" s="8"/>
      <c r="I252" s="8"/>
      <c r="J252" s="8"/>
    </row>
    <row r="253" spans="1:10" customFormat="1" x14ac:dyDescent="0.25">
      <c r="A253" s="4"/>
      <c r="B253" s="4"/>
      <c r="C253" s="2"/>
      <c r="D253" s="7"/>
      <c r="E253" s="7"/>
      <c r="F253" s="70"/>
      <c r="G253" s="8"/>
      <c r="H253" s="8"/>
      <c r="I253" s="8"/>
      <c r="J253" s="8"/>
    </row>
    <row r="254" spans="1:10" customFormat="1" x14ac:dyDescent="0.25">
      <c r="A254" s="4"/>
      <c r="B254" s="4"/>
      <c r="C254" s="2"/>
      <c r="D254" s="7"/>
      <c r="E254" s="7"/>
      <c r="F254" s="70"/>
      <c r="G254" s="8"/>
      <c r="H254" s="8"/>
      <c r="I254" s="8"/>
      <c r="J254" s="8"/>
    </row>
    <row r="255" spans="1:10" customFormat="1" x14ac:dyDescent="0.25">
      <c r="A255" s="4"/>
      <c r="B255" s="4"/>
      <c r="C255" s="2"/>
      <c r="D255" s="7"/>
      <c r="E255" s="7"/>
      <c r="F255" s="70"/>
      <c r="G255" s="8"/>
      <c r="H255" s="8"/>
      <c r="I255" s="8"/>
      <c r="J255" s="8"/>
    </row>
    <row r="256" spans="1:10" customFormat="1" x14ac:dyDescent="0.25">
      <c r="A256" s="4"/>
      <c r="B256" s="4"/>
      <c r="C256" s="2"/>
      <c r="D256" s="7"/>
      <c r="E256" s="7"/>
      <c r="F256" s="70"/>
      <c r="G256" s="8"/>
      <c r="H256" s="8"/>
      <c r="I256" s="8"/>
      <c r="J256" s="8"/>
    </row>
    <row r="257" spans="1:10" customFormat="1" x14ac:dyDescent="0.25">
      <c r="A257" s="4"/>
      <c r="B257" s="4"/>
      <c r="C257" s="2"/>
      <c r="D257" s="7"/>
      <c r="E257" s="7"/>
      <c r="F257" s="70"/>
      <c r="G257" s="8"/>
      <c r="H257" s="8"/>
      <c r="I257" s="8"/>
      <c r="J257" s="8"/>
    </row>
    <row r="258" spans="1:10" customFormat="1" x14ac:dyDescent="0.25">
      <c r="A258" s="4"/>
      <c r="B258" s="4"/>
      <c r="C258" s="2"/>
      <c r="D258" s="7"/>
      <c r="E258" s="7"/>
      <c r="F258" s="70"/>
      <c r="G258" s="8"/>
      <c r="H258" s="8"/>
      <c r="I258" s="8"/>
      <c r="J258" s="8"/>
    </row>
    <row r="259" spans="1:10" customFormat="1" x14ac:dyDescent="0.25">
      <c r="A259" s="4"/>
      <c r="B259" s="4"/>
      <c r="C259" s="2"/>
      <c r="D259" s="7"/>
      <c r="E259" s="7"/>
      <c r="F259" s="70"/>
      <c r="G259" s="8"/>
      <c r="H259" s="8"/>
      <c r="I259" s="8"/>
      <c r="J259" s="8"/>
    </row>
    <row r="260" spans="1:10" customFormat="1" x14ac:dyDescent="0.25">
      <c r="A260" s="4"/>
      <c r="B260" s="4"/>
      <c r="C260" s="2"/>
      <c r="D260" s="7"/>
      <c r="E260" s="7"/>
      <c r="F260" s="70"/>
      <c r="G260" s="8"/>
      <c r="H260" s="8"/>
      <c r="I260" s="8"/>
      <c r="J260" s="8"/>
    </row>
    <row r="261" spans="1:10" customFormat="1" x14ac:dyDescent="0.25">
      <c r="A261" s="4"/>
      <c r="B261" s="4"/>
      <c r="C261" s="2"/>
      <c r="D261" s="7"/>
      <c r="E261" s="7"/>
      <c r="F261" s="70"/>
      <c r="G261" s="8"/>
      <c r="H261" s="8"/>
      <c r="I261" s="8"/>
      <c r="J261" s="8"/>
    </row>
    <row r="262" spans="1:10" customFormat="1" x14ac:dyDescent="0.25">
      <c r="A262" s="4"/>
      <c r="B262" s="4"/>
      <c r="C262" s="2"/>
      <c r="D262" s="7"/>
      <c r="E262" s="7"/>
      <c r="F262" s="70"/>
      <c r="G262" s="8"/>
      <c r="H262" s="8"/>
      <c r="I262" s="8"/>
      <c r="J262" s="8"/>
    </row>
  </sheetData>
  <sheetProtection formatRows="0"/>
  <autoFilter ref="A2:D262" xr:uid="{F8584367-72D5-4177-A380-1EFAF0077DAA}"/>
  <mergeCells count="2">
    <mergeCell ref="F1:J1"/>
    <mergeCell ref="C1:E1"/>
  </mergeCells>
  <conditionalFormatting sqref="F3:F169">
    <cfRule type="expression" dxfId="35" priority="26">
      <formula>$F3="[2] IN THE FILE"</formula>
    </cfRule>
    <cfRule type="expression" dxfId="34" priority="27">
      <formula>$F3="[1] PENDING"</formula>
    </cfRule>
  </conditionalFormatting>
  <conditionalFormatting sqref="G3:G169">
    <cfRule type="expression" dxfId="33" priority="22">
      <formula>$G3="[3] IN THE FILE"</formula>
    </cfRule>
    <cfRule type="expression" dxfId="32" priority="23">
      <formula>$G3="[2] RECEIVED"</formula>
    </cfRule>
    <cfRule type="expression" dxfId="31" priority="24">
      <formula>$G3="[1] ASSIGNED"</formula>
    </cfRule>
    <cfRule type="expression" dxfId="30" priority="25">
      <formula>$G3="[0] PENDING"</formula>
    </cfRule>
  </conditionalFormatting>
  <conditionalFormatting sqref="H3:H169">
    <cfRule type="expression" dxfId="29" priority="18">
      <formula>$H3="[3] IN THE FILE"</formula>
    </cfRule>
    <cfRule type="expression" dxfId="28" priority="19">
      <formula>$H3="[2] RECEIVED"</formula>
    </cfRule>
    <cfRule type="expression" dxfId="27" priority="20">
      <formula>$H3="[1] ASSIGNED"</formula>
    </cfRule>
    <cfRule type="expression" dxfId="26" priority="21">
      <formula>$H3="[0] PENDING"</formula>
    </cfRule>
  </conditionalFormatting>
  <conditionalFormatting sqref="I3:I169">
    <cfRule type="expression" dxfId="25" priority="14">
      <formula>$I3="[3] IN THE FILE"</formula>
    </cfRule>
    <cfRule type="expression" dxfId="24" priority="15">
      <formula>$I3="[2] RECEIVED"</formula>
    </cfRule>
    <cfRule type="expression" dxfId="23" priority="16">
      <formula>$I3="[1] ASSIGNED"</formula>
    </cfRule>
    <cfRule type="expression" dxfId="22" priority="17">
      <formula>$I3="[0] PENDING"</formula>
    </cfRule>
  </conditionalFormatting>
  <conditionalFormatting sqref="J3:J169">
    <cfRule type="expression" dxfId="21" priority="10">
      <formula>$J3="[3] IN THE FILE"</formula>
    </cfRule>
    <cfRule type="expression" dxfId="20" priority="11">
      <formula>$J3="[2] RECEIVED"</formula>
    </cfRule>
    <cfRule type="expression" dxfId="19" priority="12">
      <formula>$J3="[1] ASSIGNED"</formula>
    </cfRule>
    <cfRule type="expression" dxfId="18" priority="13">
      <formula>$J3="[0] PENDING"</formula>
    </cfRule>
  </conditionalFormatting>
  <conditionalFormatting sqref="D2:E2">
    <cfRule type="expression" dxfId="17" priority="1">
      <formula>$D2="[8] WAIVER granted"</formula>
    </cfRule>
    <cfRule type="expression" dxfId="16" priority="2">
      <formula>$D2="[7] Elected 25%"</formula>
    </cfRule>
    <cfRule type="expression" dxfId="15" priority="3">
      <formula>$D2="[6] N/A BY FUNCTION"</formula>
    </cfRule>
    <cfRule type="expression" dxfId="14" priority="4">
      <formula>$D2="[5] COMPLIANT as written"</formula>
    </cfRule>
    <cfRule type="expression" dxfId="13" priority="5">
      <formula>$D2="[4] STANDARD does not require wd"</formula>
    </cfRule>
    <cfRule type="expression" dxfId="12" priority="6">
      <formula>$D2="[3] DRAFTED new or revised wd"</formula>
    </cfRule>
    <cfRule type="expression" dxfId="11" priority="7">
      <formula>$D2="[2] REVISION needed to wd"</formula>
    </cfRule>
    <cfRule type="expression" dxfId="10" priority="8">
      <formula>$D2="[1] NEW wd needed"</formula>
    </cfRule>
    <cfRule type="expression" dxfId="9" priority="9">
      <formula>$D2="[0] PENDING review"</formula>
    </cfRule>
  </conditionalFormatting>
  <conditionalFormatting sqref="D3:D169">
    <cfRule type="expression" dxfId="8" priority="40">
      <formula>$D3="[0] PENDING review"</formula>
    </cfRule>
    <cfRule type="expression" dxfId="7" priority="38">
      <formula>$D3="[1] NEW wd needed"</formula>
    </cfRule>
    <cfRule type="expression" dxfId="6" priority="37">
      <formula>$D3="[2] REVISION needed to wd"</formula>
    </cfRule>
    <cfRule type="expression" dxfId="5" priority="35">
      <formula>$D3="[3] DRAFTED new or revised wd"</formula>
    </cfRule>
    <cfRule type="expression" dxfId="4" priority="34">
      <formula>$D3="[4] STANDARD does not require wd"</formula>
    </cfRule>
    <cfRule type="expression" dxfId="3" priority="33">
      <formula>$D3="[5] COMPLIANT as written"</formula>
    </cfRule>
    <cfRule type="expression" dxfId="2" priority="32">
      <formula>$D3="[6] N/A BY FUNCTION"</formula>
    </cfRule>
    <cfRule type="expression" dxfId="1" priority="31">
      <formula>$D3="[7] Elected 25%"</formula>
    </cfRule>
    <cfRule type="expression" dxfId="0" priority="30">
      <formula>$D3="[8] WAIVER granted"</formula>
    </cfRule>
  </conditionalFormatting>
  <dataValidations count="2">
    <dataValidation type="list" allowBlank="1" showInputMessage="1" showErrorMessage="1" sqref="D141:D145 D3:D12 D40:D120 D147:D156 D158:D169 D32:D38 D126:D139 D122:D123 D15:D25 D28:D30" xr:uid="{5411BDD9-3C71-4947-BE8A-2F8D4F67E413}">
      <formula1>Mandatory</formula1>
    </dataValidation>
    <dataValidation type="list" allowBlank="1" showInputMessage="1" showErrorMessage="1" sqref="D13:D14 D39 D140 D121 D31 D124:D125 D146 D157 D26:D27" xr:uid="{D87AD14D-D395-43D4-B8F7-95598D21A776}">
      <formula1>otherthanmandatory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11EE55-1A5B-4FA7-9FA3-AA6C21D1E02E}">
          <x14:formula1>
            <xm:f>List!$D$2:$D$5</xm:f>
          </x14:formula1>
          <xm:sqref>G3:J169</xm:sqref>
        </x14:dataValidation>
        <x14:dataValidation type="list" allowBlank="1" showInputMessage="1" showErrorMessage="1" xr:uid="{AE10CB8B-629F-4A73-8BBF-682C2A58CF21}">
          <x14:formula1>
            <xm:f>List!$C$2:$C$3</xm:f>
          </x14:formula1>
          <xm:sqref>F3:F169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E1E57-B237-4C6B-B2EC-1FDF58CCC234}">
  <sheetPr>
    <tabColor theme="7" tint="-0.249977111117893"/>
  </sheetPr>
  <dimension ref="A1:AZ93"/>
  <sheetViews>
    <sheetView topLeftCell="D3" zoomScale="80" zoomScaleNormal="80" workbookViewId="0">
      <selection activeCell="L20" sqref="L20"/>
    </sheetView>
  </sheetViews>
  <sheetFormatPr defaultRowHeight="15" x14ac:dyDescent="0.25"/>
  <cols>
    <col min="1" max="1" width="2.140625" customWidth="1"/>
    <col min="2" max="2" width="10.85546875" style="17" customWidth="1"/>
    <col min="3" max="4" width="11.7109375" style="18" customWidth="1"/>
    <col min="5" max="5" width="13.7109375" style="18" customWidth="1"/>
    <col min="6" max="11" width="11.7109375" style="18" customWidth="1"/>
    <col min="12" max="12" width="7.5703125" style="18" bestFit="1" customWidth="1"/>
    <col min="13" max="13" width="3.85546875" style="106" customWidth="1"/>
    <col min="14" max="14" width="10.7109375" style="93" customWidth="1"/>
    <col min="15" max="31" width="10.7109375" style="4" customWidth="1"/>
    <col min="32" max="32" width="4" style="108" customWidth="1"/>
    <col min="33" max="45" width="10.7109375" style="4" customWidth="1"/>
    <col min="46" max="54" width="10.7109375" customWidth="1"/>
  </cols>
  <sheetData>
    <row r="1" spans="1:52" ht="12" customHeight="1" thickBot="1" x14ac:dyDescent="0.3">
      <c r="A1" s="48"/>
      <c r="B1" s="45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01"/>
      <c r="O1" s="102" t="s">
        <v>322</v>
      </c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89"/>
      <c r="AF1" s="89"/>
      <c r="AG1" s="87"/>
      <c r="AH1" s="87"/>
      <c r="AI1" s="87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</row>
    <row r="2" spans="1:52" ht="49.5" customHeight="1" x14ac:dyDescent="0.25">
      <c r="A2" s="48"/>
      <c r="B2" s="51"/>
      <c r="C2" s="52"/>
      <c r="D2" s="52"/>
      <c r="E2" s="52"/>
      <c r="F2" s="52"/>
      <c r="G2" s="52"/>
      <c r="H2" s="52"/>
      <c r="I2" s="78">
        <f>COUNTIFS('File Tracker'!$C$3:$C$169,"*[TIME SENSITIVE]*",'File Tracker'!$D$3:$D$169,"*[0]*")</f>
        <v>23</v>
      </c>
      <c r="J2" s="79"/>
      <c r="K2" s="78">
        <f>COUNTIFS('File Tracker'!$C$3:$C$169,"*[TIME SENSITIVE]*",'File Tracker'!$D$3:$D$169,"*[4]*")</f>
        <v>0</v>
      </c>
      <c r="L2" s="53"/>
      <c r="M2" s="104"/>
      <c r="N2" s="113"/>
      <c r="O2" s="119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21"/>
      <c r="AE2" s="116"/>
      <c r="AF2" s="89"/>
      <c r="AG2" s="87"/>
      <c r="AH2" s="87"/>
      <c r="AI2" s="87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</row>
    <row r="3" spans="1:52" ht="15" customHeight="1" x14ac:dyDescent="0.25">
      <c r="A3" s="48"/>
      <c r="B3" s="54"/>
      <c r="C3" s="47"/>
      <c r="D3" s="47"/>
      <c r="E3" s="47"/>
      <c r="F3" s="47"/>
      <c r="G3" s="47"/>
      <c r="H3" s="47"/>
      <c r="I3" s="80">
        <f>COUNTIFS('File Tracker'!$C$3:$C$169,"*[TIME SENSITIVE]*",'File Tracker'!$D$3:$D$169,"*[1]*")</f>
        <v>0</v>
      </c>
      <c r="J3" s="81"/>
      <c r="K3" s="80">
        <f>COUNTIFS('File Tracker'!$C$3:$C$169,"*[TIME SENSITIVE]*",'File Tracker'!$D$3:$D$169,"*[5]*")</f>
        <v>0</v>
      </c>
      <c r="L3" s="55"/>
      <c r="M3" s="104"/>
      <c r="N3" s="114"/>
      <c r="O3" s="120"/>
      <c r="P3" s="128"/>
      <c r="Q3" s="128"/>
      <c r="R3" s="128"/>
      <c r="S3" s="128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22"/>
      <c r="AE3" s="117"/>
      <c r="AF3" s="89"/>
      <c r="AG3" s="87"/>
      <c r="AH3" s="87"/>
      <c r="AI3" s="87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87"/>
      <c r="AV3" s="87"/>
      <c r="AW3" s="87"/>
      <c r="AX3" s="87"/>
      <c r="AY3" s="87"/>
    </row>
    <row r="4" spans="1:52" ht="15" customHeight="1" x14ac:dyDescent="0.25">
      <c r="A4" s="48"/>
      <c r="B4" s="54"/>
      <c r="C4" s="47"/>
      <c r="D4" s="47"/>
      <c r="E4" s="47"/>
      <c r="F4" s="47"/>
      <c r="G4" s="47"/>
      <c r="H4" s="47"/>
      <c r="I4" s="80">
        <f>COUNTIFS('File Tracker'!$C$3:$C$169,"*[TIME SENSITIVE]*",'File Tracker'!$D$3:$D$169,"*[2]*")</f>
        <v>0</v>
      </c>
      <c r="J4" s="81"/>
      <c r="K4" s="80">
        <f>COUNTIFS('File Tracker'!$C$3:$C$169,"*[TIME SENSITIVE]*",'File Tracker'!$D$3:$D$169,"*[6]*")</f>
        <v>0</v>
      </c>
      <c r="L4" s="55"/>
      <c r="M4" s="104"/>
      <c r="N4" s="114"/>
      <c r="O4" s="120"/>
      <c r="P4" s="128" t="s">
        <v>324</v>
      </c>
      <c r="Q4" s="128">
        <f>I15</f>
        <v>167</v>
      </c>
      <c r="R4" s="128"/>
      <c r="S4" s="12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22"/>
      <c r="AE4" s="117"/>
      <c r="AF4" s="89"/>
      <c r="AG4" s="87"/>
      <c r="AH4" s="109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94"/>
      <c r="AT4" s="94"/>
      <c r="AU4" s="87"/>
      <c r="AV4" s="87"/>
      <c r="AW4" s="87"/>
      <c r="AX4" s="87"/>
      <c r="AY4" s="87"/>
    </row>
    <row r="5" spans="1:52" ht="15" customHeight="1" x14ac:dyDescent="0.25">
      <c r="A5" s="48"/>
      <c r="B5" s="54"/>
      <c r="C5" s="47"/>
      <c r="D5" s="47"/>
      <c r="E5" s="47"/>
      <c r="F5" s="47"/>
      <c r="G5" s="47"/>
      <c r="H5" s="47"/>
      <c r="I5" s="80">
        <f>COUNTIFS('File Tracker'!$C$3:$C$169,"*[TIME SENSITIVE]*",'File Tracker'!$D$3:$D$169,"*[3]*")</f>
        <v>0</v>
      </c>
      <c r="J5" s="81"/>
      <c r="K5" s="80">
        <f>COUNTIFS('File Tracker'!$C$3:$C$169,"*[TIME SENSITIVE]*",'File Tracker'!$D$3:$D$169,"*[7]*")</f>
        <v>0</v>
      </c>
      <c r="L5" s="55"/>
      <c r="M5" s="104"/>
      <c r="N5" s="114"/>
      <c r="O5" s="120"/>
      <c r="P5" s="128" t="s">
        <v>319</v>
      </c>
      <c r="Q5" s="128">
        <f>COUNTIF('File Tracker'!$F$3:$F$169,"*IN THE FILE*")</f>
        <v>0</v>
      </c>
      <c r="R5" s="127">
        <f>Q5/Q4</f>
        <v>0</v>
      </c>
      <c r="S5" s="128"/>
      <c r="T5" s="128"/>
      <c r="U5" s="128"/>
      <c r="V5" s="110"/>
      <c r="W5" s="110"/>
      <c r="X5" s="110"/>
      <c r="Y5" s="110"/>
      <c r="Z5" s="110"/>
      <c r="AA5" s="110"/>
      <c r="AB5" s="110"/>
      <c r="AC5" s="110"/>
      <c r="AD5" s="122"/>
      <c r="AE5" s="117"/>
      <c r="AF5" s="89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94"/>
      <c r="AT5" s="94"/>
      <c r="AU5" s="87"/>
      <c r="AV5" s="87"/>
      <c r="AW5" s="87"/>
      <c r="AX5" s="87"/>
      <c r="AY5" s="87"/>
    </row>
    <row r="6" spans="1:52" ht="15" customHeight="1" x14ac:dyDescent="0.25">
      <c r="A6" s="48"/>
      <c r="B6" s="54"/>
      <c r="C6" s="47"/>
      <c r="D6" s="47"/>
      <c r="E6" s="47"/>
      <c r="F6" s="47"/>
      <c r="G6" s="47"/>
      <c r="H6" s="47"/>
      <c r="I6" s="80"/>
      <c r="J6" s="81"/>
      <c r="K6" s="80">
        <f>COUNTIFS('File Tracker'!$C$3:$C$169,"*[TIME SENSITIVE]*",'File Tracker'!$D$3:$D$169,"*[8]*")</f>
        <v>0</v>
      </c>
      <c r="L6" s="55"/>
      <c r="M6" s="104"/>
      <c r="N6" s="114"/>
      <c r="O6" s="120"/>
      <c r="P6" s="128" t="s">
        <v>320</v>
      </c>
      <c r="Q6" s="128">
        <f>COUNTIF('File Tracker'!$F$3:$F$169,"*PENDING*")</f>
        <v>167</v>
      </c>
      <c r="R6" s="128"/>
      <c r="S6" s="128"/>
      <c r="T6" s="128"/>
      <c r="U6" s="128"/>
      <c r="V6" s="110"/>
      <c r="W6" s="110"/>
      <c r="X6" s="110"/>
      <c r="Y6" s="110"/>
      <c r="Z6" s="110"/>
      <c r="AA6" s="110"/>
      <c r="AB6" s="110"/>
      <c r="AC6" s="110"/>
      <c r="AD6" s="122"/>
      <c r="AE6" s="117"/>
      <c r="AF6" s="89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94"/>
      <c r="AT6" s="94"/>
      <c r="AU6" s="87"/>
      <c r="AV6" s="87"/>
      <c r="AW6" s="87"/>
      <c r="AX6" s="87"/>
      <c r="AY6" s="87"/>
    </row>
    <row r="7" spans="1:52" ht="15" customHeight="1" x14ac:dyDescent="0.25">
      <c r="A7" s="48"/>
      <c r="B7" s="54"/>
      <c r="C7" s="47"/>
      <c r="D7" s="47"/>
      <c r="E7" s="47"/>
      <c r="F7" s="47"/>
      <c r="G7" s="47"/>
      <c r="H7" s="47"/>
      <c r="I7" s="80"/>
      <c r="J7" s="81"/>
      <c r="K7" s="81"/>
      <c r="L7" s="55"/>
      <c r="M7" s="104"/>
      <c r="N7" s="114"/>
      <c r="O7" s="120"/>
      <c r="P7" s="128"/>
      <c r="Q7" s="128"/>
      <c r="R7" s="128"/>
      <c r="S7" s="128"/>
      <c r="T7" s="128"/>
      <c r="U7" s="128"/>
      <c r="V7" s="110"/>
      <c r="W7" s="110"/>
      <c r="X7" s="110"/>
      <c r="Y7" s="110"/>
      <c r="Z7" s="110"/>
      <c r="AA7" s="110"/>
      <c r="AB7" s="110"/>
      <c r="AC7" s="110"/>
      <c r="AD7" s="122"/>
      <c r="AE7" s="117"/>
      <c r="AF7" s="89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94"/>
      <c r="AT7" s="94"/>
      <c r="AU7" s="87"/>
      <c r="AV7" s="87"/>
      <c r="AW7" s="87"/>
      <c r="AX7" s="87"/>
      <c r="AY7" s="87"/>
    </row>
    <row r="8" spans="1:52" ht="15" customHeight="1" x14ac:dyDescent="0.25">
      <c r="A8" s="48"/>
      <c r="B8" s="54"/>
      <c r="C8" s="47"/>
      <c r="D8" s="47"/>
      <c r="E8" s="47"/>
      <c r="F8" s="47"/>
      <c r="G8" s="47"/>
      <c r="H8" s="47"/>
      <c r="I8" s="156" t="s">
        <v>314</v>
      </c>
      <c r="J8" s="156"/>
      <c r="K8" s="156"/>
      <c r="L8" s="55"/>
      <c r="M8" s="104"/>
      <c r="N8" s="114"/>
      <c r="O8" s="120"/>
      <c r="P8" s="128"/>
      <c r="Q8" s="128"/>
      <c r="R8" s="128"/>
      <c r="S8" s="128"/>
      <c r="T8" s="128"/>
      <c r="U8" s="128"/>
      <c r="V8" s="110"/>
      <c r="W8" s="110"/>
      <c r="X8" s="110"/>
      <c r="Y8" s="110"/>
      <c r="Z8" s="110"/>
      <c r="AA8" s="110"/>
      <c r="AB8" s="110"/>
      <c r="AC8" s="110"/>
      <c r="AD8" s="122"/>
      <c r="AE8" s="117"/>
      <c r="AF8" s="89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94"/>
      <c r="AT8" s="94"/>
      <c r="AU8" s="87"/>
      <c r="AV8" s="87"/>
      <c r="AW8" s="87"/>
      <c r="AX8" s="87"/>
      <c r="AY8" s="87"/>
    </row>
    <row r="9" spans="1:52" ht="15" customHeight="1" x14ac:dyDescent="0.25">
      <c r="A9" s="48"/>
      <c r="B9" s="54"/>
      <c r="C9" s="47"/>
      <c r="D9" s="47"/>
      <c r="E9" s="47"/>
      <c r="F9" s="47"/>
      <c r="G9" s="47"/>
      <c r="H9" s="47"/>
      <c r="I9" s="72">
        <f>I2+I3</f>
        <v>23</v>
      </c>
      <c r="J9" s="74">
        <f>I4+I5</f>
        <v>0</v>
      </c>
      <c r="K9" s="76">
        <f>K2+K3+K4+K5+K6</f>
        <v>0</v>
      </c>
      <c r="L9" s="55"/>
      <c r="M9" s="104"/>
      <c r="N9" s="114"/>
      <c r="O9" s="120"/>
      <c r="P9" s="110"/>
      <c r="Q9" s="110"/>
      <c r="R9" s="128"/>
      <c r="S9" s="128"/>
      <c r="T9" s="128"/>
      <c r="U9" s="128"/>
      <c r="V9" s="110"/>
      <c r="W9" s="110"/>
      <c r="X9" s="110"/>
      <c r="Y9" s="110"/>
      <c r="Z9" s="110"/>
      <c r="AA9" s="110"/>
      <c r="AB9" s="110"/>
      <c r="AC9" s="110"/>
      <c r="AD9" s="122"/>
      <c r="AE9" s="117"/>
      <c r="AF9" s="89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08"/>
      <c r="AT9" s="108"/>
      <c r="AU9" s="132"/>
      <c r="AV9" s="132"/>
      <c r="AW9" s="132"/>
      <c r="AX9" s="132"/>
      <c r="AY9" s="132"/>
      <c r="AZ9" s="108"/>
    </row>
    <row r="10" spans="1:52" ht="15" customHeight="1" x14ac:dyDescent="0.25">
      <c r="A10" s="48"/>
      <c r="B10" s="54"/>
      <c r="C10" s="47"/>
      <c r="D10" s="47"/>
      <c r="E10" s="47"/>
      <c r="F10" s="47"/>
      <c r="G10" s="47"/>
      <c r="H10" s="47"/>
      <c r="I10" s="73">
        <f>I9/$B$21</f>
        <v>1</v>
      </c>
      <c r="J10" s="75">
        <f>J9/$B$21</f>
        <v>0</v>
      </c>
      <c r="K10" s="77">
        <f>K9/$B$21</f>
        <v>0</v>
      </c>
      <c r="L10" s="55"/>
      <c r="M10" s="104"/>
      <c r="N10" s="114"/>
      <c r="O10" s="120"/>
      <c r="P10" s="110"/>
      <c r="Q10" s="110"/>
      <c r="R10" s="128"/>
      <c r="S10" s="128"/>
      <c r="T10" s="128"/>
      <c r="U10" s="128"/>
      <c r="V10" s="110"/>
      <c r="W10" s="110"/>
      <c r="X10" s="110"/>
      <c r="Y10" s="110"/>
      <c r="Z10" s="110"/>
      <c r="AA10" s="110"/>
      <c r="AB10" s="110"/>
      <c r="AC10" s="110"/>
      <c r="AD10" s="122"/>
      <c r="AE10" s="117"/>
      <c r="AF10" s="89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08"/>
      <c r="AT10" s="108"/>
      <c r="AU10" s="132"/>
      <c r="AV10" s="132"/>
      <c r="AW10" s="132"/>
      <c r="AX10" s="132"/>
      <c r="AY10" s="132"/>
      <c r="AZ10" s="108"/>
    </row>
    <row r="11" spans="1:52" ht="15" customHeight="1" x14ac:dyDescent="0.25">
      <c r="A11" s="48"/>
      <c r="B11" s="54"/>
      <c r="C11" s="47"/>
      <c r="D11" s="47"/>
      <c r="E11" s="47"/>
      <c r="F11" s="47"/>
      <c r="G11" s="47"/>
      <c r="H11" s="47"/>
      <c r="I11" s="47"/>
      <c r="J11" s="47"/>
      <c r="K11" s="47"/>
      <c r="L11" s="55"/>
      <c r="M11" s="104"/>
      <c r="N11" s="114"/>
      <c r="O11" s="12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22"/>
      <c r="AE11" s="117"/>
      <c r="AF11" s="89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08"/>
      <c r="AT11" s="108"/>
      <c r="AU11" s="132"/>
      <c r="AV11" s="132"/>
      <c r="AW11" s="132"/>
      <c r="AX11" s="132"/>
      <c r="AY11" s="132"/>
      <c r="AZ11" s="108"/>
    </row>
    <row r="12" spans="1:52" ht="15" customHeight="1" x14ac:dyDescent="0.25">
      <c r="A12" s="48"/>
      <c r="B12" s="54"/>
      <c r="C12" s="47"/>
      <c r="D12" s="47"/>
      <c r="E12" s="47"/>
      <c r="F12" s="47"/>
      <c r="G12" s="47"/>
      <c r="H12" s="47"/>
      <c r="I12" s="47"/>
      <c r="J12" s="47"/>
      <c r="K12" s="47"/>
      <c r="L12" s="55"/>
      <c r="M12" s="104"/>
      <c r="N12" s="114"/>
      <c r="O12" s="12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22"/>
      <c r="AE12" s="117"/>
      <c r="AF12" s="89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08"/>
      <c r="AT12" s="108"/>
      <c r="AU12" s="132"/>
      <c r="AV12" s="132"/>
      <c r="AW12" s="132"/>
      <c r="AX12" s="132"/>
      <c r="AY12" s="132"/>
      <c r="AZ12" s="108"/>
    </row>
    <row r="13" spans="1:52" ht="15" customHeight="1" x14ac:dyDescent="0.25">
      <c r="A13" s="48"/>
      <c r="B13" s="54"/>
      <c r="C13" s="47"/>
      <c r="D13" s="47"/>
      <c r="E13" s="47"/>
      <c r="F13" s="47"/>
      <c r="G13" s="47"/>
      <c r="H13" s="47"/>
      <c r="I13" s="159" t="s">
        <v>267</v>
      </c>
      <c r="J13" s="159"/>
      <c r="K13" s="47"/>
      <c r="L13" s="55"/>
      <c r="M13" s="104"/>
      <c r="N13" s="114"/>
      <c r="O13" s="12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22"/>
      <c r="AE13" s="117"/>
      <c r="AF13" s="89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08"/>
      <c r="AT13" s="108"/>
      <c r="AU13" s="132"/>
      <c r="AV13" s="132"/>
      <c r="AW13" s="132"/>
      <c r="AX13" s="132"/>
      <c r="AY13" s="132"/>
      <c r="AZ13" s="108"/>
    </row>
    <row r="14" spans="1:52" ht="15" customHeight="1" x14ac:dyDescent="0.25">
      <c r="A14" s="48"/>
      <c r="B14" s="54"/>
      <c r="C14" s="47"/>
      <c r="D14" s="47"/>
      <c r="E14" s="47"/>
      <c r="F14" s="47"/>
      <c r="G14" s="47"/>
      <c r="H14" s="47"/>
      <c r="I14" s="159"/>
      <c r="J14" s="159"/>
      <c r="K14" s="47"/>
      <c r="L14" s="55"/>
      <c r="M14" s="104"/>
      <c r="N14" s="114"/>
      <c r="O14" s="12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22"/>
      <c r="AE14" s="117"/>
      <c r="AF14" s="89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08"/>
      <c r="AT14" s="108"/>
      <c r="AU14" s="132"/>
      <c r="AV14" s="132"/>
      <c r="AW14" s="132"/>
      <c r="AX14" s="132"/>
      <c r="AY14" s="132"/>
      <c r="AZ14" s="108"/>
    </row>
    <row r="15" spans="1:52" ht="31.5" x14ac:dyDescent="0.5">
      <c r="A15" s="48"/>
      <c r="B15" s="54"/>
      <c r="C15" s="149">
        <f>C22+D22</f>
        <v>167</v>
      </c>
      <c r="D15" s="149"/>
      <c r="E15" s="151">
        <f>E22+F22</f>
        <v>0</v>
      </c>
      <c r="F15" s="151"/>
      <c r="G15" s="153">
        <f>G22+H22+I22+J22+K22</f>
        <v>0</v>
      </c>
      <c r="H15" s="153"/>
      <c r="I15" s="157">
        <f>C15+E15+G15</f>
        <v>167</v>
      </c>
      <c r="J15" s="157"/>
      <c r="K15" s="47"/>
      <c r="L15" s="55"/>
      <c r="M15" s="104"/>
      <c r="N15" s="114"/>
      <c r="O15" s="120"/>
      <c r="P15" s="110"/>
      <c r="Q15" s="110"/>
      <c r="R15" s="110"/>
      <c r="S15" s="110"/>
      <c r="T15" s="110"/>
      <c r="U15" s="110"/>
      <c r="V15" s="110"/>
      <c r="W15" s="110"/>
      <c r="X15" s="110"/>
      <c r="Y15" s="128" t="s">
        <v>328</v>
      </c>
      <c r="Z15" s="128"/>
      <c r="AA15" s="128"/>
      <c r="AB15" s="128"/>
      <c r="AC15" s="128"/>
      <c r="AD15" s="122"/>
      <c r="AE15" s="117"/>
      <c r="AF15" s="89"/>
      <c r="AG15" s="87" t="s">
        <v>327</v>
      </c>
      <c r="AH15" s="87"/>
      <c r="AI15" s="87"/>
      <c r="AJ15" s="87"/>
      <c r="AK15" s="87"/>
      <c r="AL15" s="87"/>
      <c r="AM15" s="87"/>
      <c r="AN15" s="87"/>
      <c r="AO15" s="87" t="s">
        <v>326</v>
      </c>
      <c r="AP15" s="87"/>
      <c r="AQ15" s="87"/>
      <c r="AR15" s="87"/>
      <c r="AS15" s="94"/>
      <c r="AT15" s="94"/>
      <c r="AU15" s="87"/>
      <c r="AV15" s="87"/>
      <c r="AW15" s="87" t="s">
        <v>325</v>
      </c>
      <c r="AX15" s="87"/>
      <c r="AY15" s="132"/>
      <c r="AZ15" s="108"/>
    </row>
    <row r="16" spans="1:52" ht="26.25" x14ac:dyDescent="0.4">
      <c r="A16" s="48"/>
      <c r="B16" s="54"/>
      <c r="C16" s="150">
        <f>C23+D23</f>
        <v>1</v>
      </c>
      <c r="D16" s="150"/>
      <c r="E16" s="152">
        <f>E23+F23</f>
        <v>0</v>
      </c>
      <c r="F16" s="152"/>
      <c r="G16" s="154">
        <f>G23+H23+I23+J23+K23</f>
        <v>0</v>
      </c>
      <c r="H16" s="154"/>
      <c r="I16" s="158">
        <f>C16+E16+G16</f>
        <v>1</v>
      </c>
      <c r="J16" s="158"/>
      <c r="K16" s="47"/>
      <c r="L16" s="55"/>
      <c r="M16" s="104"/>
      <c r="N16" s="114"/>
      <c r="O16" s="120"/>
      <c r="P16" s="110"/>
      <c r="Q16" s="110"/>
      <c r="R16" s="110"/>
      <c r="S16" s="110"/>
      <c r="T16" s="110"/>
      <c r="U16" s="110"/>
      <c r="V16" s="110"/>
      <c r="W16" s="110"/>
      <c r="X16" s="110" t="s">
        <v>324</v>
      </c>
      <c r="Y16" s="128">
        <f>I15</f>
        <v>167</v>
      </c>
      <c r="Z16" s="131"/>
      <c r="AA16" s="128"/>
      <c r="AB16" s="128"/>
      <c r="AC16" s="128"/>
      <c r="AD16" s="122"/>
      <c r="AE16" s="117"/>
      <c r="AF16" s="89" t="s">
        <v>324</v>
      </c>
      <c r="AG16" s="87">
        <f>I15</f>
        <v>167</v>
      </c>
      <c r="AH16" s="87"/>
      <c r="AI16" s="87"/>
      <c r="AJ16" s="87"/>
      <c r="AK16" s="87"/>
      <c r="AL16" s="87"/>
      <c r="AM16" s="87"/>
      <c r="AN16" s="87" t="s">
        <v>324</v>
      </c>
      <c r="AO16" s="87">
        <f>I15</f>
        <v>167</v>
      </c>
      <c r="AP16" s="87"/>
      <c r="AQ16" s="87"/>
      <c r="AR16" s="87"/>
      <c r="AS16" s="94"/>
      <c r="AT16" s="94"/>
      <c r="AU16" s="87"/>
      <c r="AV16" s="87" t="s">
        <v>324</v>
      </c>
      <c r="AW16" s="87">
        <f>I15</f>
        <v>167</v>
      </c>
      <c r="AX16" s="87"/>
      <c r="AY16" s="132"/>
      <c r="AZ16" s="108"/>
    </row>
    <row r="17" spans="1:52" ht="15" customHeight="1" thickBot="1" x14ac:dyDescent="0.3">
      <c r="A17" s="48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104"/>
      <c r="N17" s="114"/>
      <c r="O17" s="120"/>
      <c r="P17" s="110"/>
      <c r="Q17" s="110"/>
      <c r="R17" s="110"/>
      <c r="S17" s="110"/>
      <c r="T17" s="110"/>
      <c r="U17" s="110"/>
      <c r="V17" s="110"/>
      <c r="W17" s="110"/>
      <c r="X17" s="110" t="s">
        <v>320</v>
      </c>
      <c r="Y17" s="128">
        <f>COUNTIF('File Tracker'!$G$3:$G$169,"*PENDING*")</f>
        <v>167</v>
      </c>
      <c r="Z17" s="129"/>
      <c r="AA17" s="128"/>
      <c r="AB17" s="128"/>
      <c r="AC17" s="128"/>
      <c r="AD17" s="122"/>
      <c r="AE17" s="117"/>
      <c r="AF17" s="89" t="s">
        <v>320</v>
      </c>
      <c r="AG17" s="87">
        <f>COUNTIF('File Tracker'!$H$3:$H$169,"*PENDING*")</f>
        <v>167</v>
      </c>
      <c r="AH17" s="87"/>
      <c r="AI17" s="87"/>
      <c r="AJ17" s="87"/>
      <c r="AK17" s="87"/>
      <c r="AL17" s="87"/>
      <c r="AM17" s="87"/>
      <c r="AN17" s="87" t="s">
        <v>320</v>
      </c>
      <c r="AO17" s="87">
        <f>COUNTIF('File Tracker'!$I$3:$I$169,"*PENDING*")</f>
        <v>167</v>
      </c>
      <c r="AP17" s="87"/>
      <c r="AQ17" s="87"/>
      <c r="AR17" s="87"/>
      <c r="AS17" s="94"/>
      <c r="AT17" s="94"/>
      <c r="AU17" s="87"/>
      <c r="AV17" s="87" t="s">
        <v>320</v>
      </c>
      <c r="AW17" s="87">
        <f>COUNTIF('File Tracker'!$J$3:$J$169,"*PENDING*")</f>
        <v>167</v>
      </c>
      <c r="AX17" s="87"/>
      <c r="AY17" s="132"/>
      <c r="AZ17" s="108"/>
    </row>
    <row r="18" spans="1:52" ht="12" customHeight="1" x14ac:dyDescent="0.25">
      <c r="A18" s="4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114"/>
      <c r="O18" s="120"/>
      <c r="P18" s="110"/>
      <c r="Q18" s="110"/>
      <c r="R18" s="110"/>
      <c r="S18" s="110"/>
      <c r="T18" s="110"/>
      <c r="U18" s="110"/>
      <c r="V18" s="110"/>
      <c r="W18" s="110"/>
      <c r="X18" s="110" t="s">
        <v>317</v>
      </c>
      <c r="Y18" s="128">
        <f>COUNTIF('File Tracker'!$G$3:$G$169,"*ASSIGNED*")</f>
        <v>0</v>
      </c>
      <c r="Z18" s="129"/>
      <c r="AA18" s="128"/>
      <c r="AB18" s="128"/>
      <c r="AC18" s="128"/>
      <c r="AD18" s="122"/>
      <c r="AE18" s="117"/>
      <c r="AF18" s="89" t="s">
        <v>317</v>
      </c>
      <c r="AG18" s="87">
        <f>COUNTIF('File Tracker'!$H$3:$H$169,"*ASSIGNED*")</f>
        <v>0</v>
      </c>
      <c r="AH18" s="87"/>
      <c r="AI18" s="87"/>
      <c r="AJ18" s="87"/>
      <c r="AK18" s="87"/>
      <c r="AL18" s="87"/>
      <c r="AM18" s="87"/>
      <c r="AN18" s="87" t="s">
        <v>317</v>
      </c>
      <c r="AO18" s="87">
        <f>COUNTIF('File Tracker'!$I$3:$I$169,"*ASSIGNED*")</f>
        <v>0</v>
      </c>
      <c r="AP18" s="87"/>
      <c r="AQ18" s="87"/>
      <c r="AR18" s="87"/>
      <c r="AS18" s="94"/>
      <c r="AT18" s="94"/>
      <c r="AU18" s="87"/>
      <c r="AV18" s="87" t="s">
        <v>317</v>
      </c>
      <c r="AW18" s="87">
        <f>COUNTIF('File Tracker'!$J$3:$J$169,"*ASSIGNED*")</f>
        <v>0</v>
      </c>
      <c r="AX18" s="87"/>
      <c r="AY18" s="132"/>
      <c r="AZ18" s="108"/>
    </row>
    <row r="19" spans="1:52" ht="15" customHeight="1" x14ac:dyDescent="0.25">
      <c r="A19" s="48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14"/>
      <c r="O19" s="120"/>
      <c r="P19" s="110"/>
      <c r="Q19" s="110"/>
      <c r="R19" s="110"/>
      <c r="S19" s="110"/>
      <c r="T19" s="110"/>
      <c r="U19" s="110"/>
      <c r="V19" s="110"/>
      <c r="W19" s="110"/>
      <c r="X19" s="110" t="s">
        <v>318</v>
      </c>
      <c r="Y19" s="128">
        <f>COUNTIF('File Tracker'!$G$3:$G$169,"*RECEIVED*")</f>
        <v>0</v>
      </c>
      <c r="Z19" s="129"/>
      <c r="AA19" s="128"/>
      <c r="AB19" s="128"/>
      <c r="AC19" s="128"/>
      <c r="AD19" s="122"/>
      <c r="AE19" s="117"/>
      <c r="AF19" s="89" t="s">
        <v>318</v>
      </c>
      <c r="AG19" s="87">
        <f>COUNTIF('File Tracker'!$H$3:$H$169,"*RECEIVED*")</f>
        <v>0</v>
      </c>
      <c r="AH19" s="87"/>
      <c r="AI19" s="87"/>
      <c r="AJ19" s="87"/>
      <c r="AK19" s="87"/>
      <c r="AL19" s="87"/>
      <c r="AM19" s="87"/>
      <c r="AN19" s="87" t="s">
        <v>318</v>
      </c>
      <c r="AO19" s="87">
        <f>COUNTIF('File Tracker'!$I$3:$I$169,"*RECEIVED*")</f>
        <v>0</v>
      </c>
      <c r="AP19" s="87"/>
      <c r="AQ19" s="87"/>
      <c r="AR19" s="87"/>
      <c r="AS19" s="94"/>
      <c r="AT19" s="94"/>
      <c r="AU19" s="87"/>
      <c r="AV19" s="87" t="s">
        <v>318</v>
      </c>
      <c r="AW19" s="87">
        <f>COUNTIF('File Tracker'!$J$3:$J$169,"*RECEIVED*")</f>
        <v>0</v>
      </c>
      <c r="AX19" s="87"/>
      <c r="AY19" s="132"/>
      <c r="AZ19" s="108"/>
    </row>
    <row r="20" spans="1:52" s="14" customFormat="1" ht="15.75" thickBot="1" x14ac:dyDescent="0.3">
      <c r="A20" s="59"/>
      <c r="B20" s="46"/>
      <c r="C20" s="96" t="s">
        <v>283</v>
      </c>
      <c r="D20" s="96" t="s">
        <v>285</v>
      </c>
      <c r="E20" s="96" t="s">
        <v>287</v>
      </c>
      <c r="F20" s="96" t="s">
        <v>291</v>
      </c>
      <c r="G20" s="96" t="s">
        <v>288</v>
      </c>
      <c r="H20" s="96" t="s">
        <v>289</v>
      </c>
      <c r="I20" s="96" t="s">
        <v>290</v>
      </c>
      <c r="J20" s="96" t="s">
        <v>293</v>
      </c>
      <c r="K20" s="96" t="s">
        <v>295</v>
      </c>
      <c r="L20" s="22"/>
      <c r="M20" s="22"/>
      <c r="N20" s="115"/>
      <c r="O20" s="123"/>
      <c r="P20" s="112"/>
      <c r="Q20" s="112"/>
      <c r="R20" s="112"/>
      <c r="S20" s="112"/>
      <c r="T20" s="112"/>
      <c r="U20" s="112"/>
      <c r="V20" s="112"/>
      <c r="W20" s="112"/>
      <c r="X20" s="110" t="s">
        <v>319</v>
      </c>
      <c r="Y20" s="128">
        <f>COUNTIF('File Tracker'!$G$3:$G$169,"*IN THE FILE*")</f>
        <v>0</v>
      </c>
      <c r="Z20" s="127">
        <f>Y20/Y16</f>
        <v>0</v>
      </c>
      <c r="AA20" s="130"/>
      <c r="AB20" s="130"/>
      <c r="AC20" s="130"/>
      <c r="AD20" s="124"/>
      <c r="AE20" s="118"/>
      <c r="AF20" s="89" t="s">
        <v>319</v>
      </c>
      <c r="AG20" s="87">
        <f>COUNTIF('File Tracker'!$H$3:$H$169,"*IN THE FILE*")</f>
        <v>0</v>
      </c>
      <c r="AH20" s="125">
        <f>AG20/AG16</f>
        <v>0</v>
      </c>
      <c r="AI20" s="88"/>
      <c r="AJ20" s="88"/>
      <c r="AK20" s="88"/>
      <c r="AL20" s="88"/>
      <c r="AM20" s="88"/>
      <c r="AN20" s="87" t="s">
        <v>319</v>
      </c>
      <c r="AO20" s="87">
        <f>COUNTIF('File Tracker'!$I$3:$I$169,"*IN THE FILE*")</f>
        <v>0</v>
      </c>
      <c r="AP20" s="125">
        <f>AO20/AO16</f>
        <v>0</v>
      </c>
      <c r="AQ20" s="88"/>
      <c r="AR20" s="88"/>
      <c r="AS20" s="95"/>
      <c r="AT20" s="95"/>
      <c r="AU20" s="88"/>
      <c r="AV20" s="87" t="s">
        <v>319</v>
      </c>
      <c r="AW20" s="87">
        <f>COUNTIF('File Tracker'!$J$3:$J$169,"*IN THE FILE*")</f>
        <v>0</v>
      </c>
      <c r="AX20" s="125">
        <f>AW20/AW16</f>
        <v>0</v>
      </c>
      <c r="AY20" s="133"/>
      <c r="AZ20" s="135"/>
    </row>
    <row r="21" spans="1:52" ht="30.75" thickBot="1" x14ac:dyDescent="0.3">
      <c r="A21" s="48"/>
      <c r="B21" s="82">
        <f>COUNTIF('File Tracker'!C3:C169,"*[TIME SENSITIVE]*")</f>
        <v>23</v>
      </c>
      <c r="C21" s="35" t="s">
        <v>284</v>
      </c>
      <c r="D21" s="35" t="s">
        <v>286</v>
      </c>
      <c r="E21" s="36" t="s">
        <v>264</v>
      </c>
      <c r="F21" s="36" t="s">
        <v>265</v>
      </c>
      <c r="G21" s="43" t="s">
        <v>268</v>
      </c>
      <c r="H21" s="37" t="s">
        <v>266</v>
      </c>
      <c r="I21" s="44" t="s">
        <v>292</v>
      </c>
      <c r="J21" s="43" t="s">
        <v>294</v>
      </c>
      <c r="K21" s="43" t="s">
        <v>296</v>
      </c>
      <c r="L21" s="98" t="s">
        <v>267</v>
      </c>
      <c r="M21" s="98"/>
      <c r="N21" s="155"/>
      <c r="O21" s="155"/>
      <c r="P21" s="155"/>
      <c r="Q21" s="155"/>
      <c r="R21" s="155"/>
      <c r="S21" s="155"/>
      <c r="T21" s="155"/>
      <c r="U21" s="155"/>
      <c r="V21" s="155"/>
      <c r="W21" s="126"/>
      <c r="X21" s="126"/>
      <c r="Y21" s="126"/>
      <c r="Z21" s="126"/>
      <c r="AA21" s="126"/>
      <c r="AB21" s="126"/>
      <c r="AC21" s="126"/>
      <c r="AD21" s="126"/>
      <c r="AE21" s="126"/>
      <c r="AF21" s="89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94"/>
      <c r="AT21" s="94"/>
      <c r="AU21" s="87"/>
      <c r="AV21" s="87"/>
      <c r="AW21" s="87"/>
      <c r="AX21" s="87"/>
      <c r="AY21" s="132"/>
      <c r="AZ21" s="108"/>
    </row>
    <row r="22" spans="1:52" s="20" customFormat="1" ht="21" x14ac:dyDescent="0.35">
      <c r="A22" s="60"/>
      <c r="B22" s="97" t="s">
        <v>270</v>
      </c>
      <c r="C22" s="27">
        <f>COUNTIFS('File Tracker'!$A$3:$A$169,"*Chapter*",'File Tracker'!$D$3:$D$169,"*[0]*")</f>
        <v>167</v>
      </c>
      <c r="D22" s="41">
        <f>COUNTIFS('File Tracker'!$A$3:$A$169,"*Chapter*",'File Tracker'!$D$3:$D$169,"*[1]*")</f>
        <v>0</v>
      </c>
      <c r="E22" s="29">
        <f>COUNTIFS('File Tracker'!$A$3:$A$169,"*Chapter*",'File Tracker'!$D$3:$D$169,"*[2]*")</f>
        <v>0</v>
      </c>
      <c r="F22" s="29">
        <f>COUNTIFS('File Tracker'!$A$3:$A$169,"*Chapter*",'File Tracker'!$D$3:$D$169,"*[3]*")</f>
        <v>0</v>
      </c>
      <c r="G22" s="31">
        <f>COUNTIFS('File Tracker'!$A$3:$A$169,"*Chapter*",'File Tracker'!$D$3:$D$169,"*[4]*")</f>
        <v>0</v>
      </c>
      <c r="H22" s="33">
        <f>COUNTIFS('File Tracker'!$A$3:$A$169,"*Chapter*",'File Tracker'!$D$3:$D$169,"*[5]*")</f>
        <v>0</v>
      </c>
      <c r="I22" s="31">
        <f>COUNTIFS('File Tracker'!$A$3:$A$169,"*Chapter*",'File Tracker'!$D$3:$D$169,"*[6]*")</f>
        <v>0</v>
      </c>
      <c r="J22" s="31">
        <f>COUNTIFS('File Tracker'!$A$3:$A$169,"*Chapter*",'File Tracker'!$D$3:$D$169,"*[7]*")</f>
        <v>0</v>
      </c>
      <c r="K22" s="31">
        <f>COUNTIFS('File Tracker'!$A$3:$A$169,"*Chapter*",'File Tracker'!$D$3:$D$169,"*[8]*")</f>
        <v>0</v>
      </c>
      <c r="L22" s="99">
        <f>SUM(C22:K22)</f>
        <v>167</v>
      </c>
      <c r="M22" s="99"/>
      <c r="N22" s="155"/>
      <c r="O22" s="155"/>
      <c r="P22" s="155"/>
      <c r="Q22" s="155"/>
      <c r="R22" s="155"/>
      <c r="S22" s="155"/>
      <c r="T22" s="155"/>
      <c r="U22" s="155"/>
      <c r="V22" s="155"/>
      <c r="W22" s="126"/>
      <c r="X22" s="126"/>
      <c r="Y22" s="126"/>
      <c r="Z22" s="126"/>
      <c r="AA22" s="126"/>
      <c r="AB22" s="126"/>
      <c r="AC22" s="126"/>
      <c r="AD22" s="126"/>
      <c r="AE22" s="126"/>
      <c r="AF22" s="107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6"/>
      <c r="AT22" s="136"/>
      <c r="AU22" s="134"/>
      <c r="AV22" s="134"/>
      <c r="AW22" s="134"/>
      <c r="AX22" s="134"/>
      <c r="AY22" s="134"/>
      <c r="AZ22" s="136"/>
    </row>
    <row r="23" spans="1:52" s="20" customFormat="1" ht="19.5" thickBot="1" x14ac:dyDescent="0.35">
      <c r="A23" s="60"/>
      <c r="B23" s="97">
        <f>COUNTA('File Tracker'!A3:A169)</f>
        <v>167</v>
      </c>
      <c r="C23" s="28">
        <f>C22/$B$23</f>
        <v>1</v>
      </c>
      <c r="D23" s="42">
        <f t="shared" ref="D23:K23" si="0">D22/$B$23</f>
        <v>0</v>
      </c>
      <c r="E23" s="30">
        <f t="shared" si="0"/>
        <v>0</v>
      </c>
      <c r="F23" s="30">
        <f t="shared" si="0"/>
        <v>0</v>
      </c>
      <c r="G23" s="32">
        <f t="shared" si="0"/>
        <v>0</v>
      </c>
      <c r="H23" s="34">
        <f t="shared" si="0"/>
        <v>0</v>
      </c>
      <c r="I23" s="32">
        <f t="shared" si="0"/>
        <v>0</v>
      </c>
      <c r="J23" s="32">
        <f t="shared" si="0"/>
        <v>0</v>
      </c>
      <c r="K23" s="32">
        <f t="shared" si="0"/>
        <v>0</v>
      </c>
      <c r="L23" s="100">
        <f>SUM(C23:K23)</f>
        <v>1</v>
      </c>
      <c r="M23" s="100"/>
      <c r="N23" s="155"/>
      <c r="O23" s="155"/>
      <c r="P23" s="155"/>
      <c r="Q23" s="155"/>
      <c r="R23" s="155"/>
      <c r="S23" s="155"/>
      <c r="T23" s="155"/>
      <c r="U23" s="155"/>
      <c r="V23" s="155"/>
      <c r="W23" s="126"/>
      <c r="X23" s="126"/>
      <c r="Y23" s="126"/>
      <c r="Z23" s="126"/>
      <c r="AA23" s="126"/>
      <c r="AB23" s="126"/>
      <c r="AC23" s="126"/>
      <c r="AD23" s="126"/>
      <c r="AE23" s="126"/>
      <c r="AF23" s="107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6"/>
      <c r="AT23" s="136"/>
      <c r="AU23" s="134"/>
      <c r="AV23" s="134"/>
      <c r="AW23" s="134"/>
      <c r="AX23" s="134"/>
      <c r="AY23" s="134"/>
      <c r="AZ23" s="136"/>
    </row>
    <row r="24" spans="1:52" s="20" customFormat="1" ht="19.5" thickBot="1" x14ac:dyDescent="0.35">
      <c r="A24" s="60"/>
      <c r="B24" s="21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155"/>
      <c r="O24" s="155"/>
      <c r="P24" s="155"/>
      <c r="Q24" s="155"/>
      <c r="R24" s="155"/>
      <c r="S24" s="155"/>
      <c r="T24" s="155"/>
      <c r="U24" s="155"/>
      <c r="V24" s="155"/>
      <c r="W24" s="126"/>
      <c r="X24" s="126"/>
      <c r="Y24" s="126"/>
      <c r="Z24" s="126"/>
      <c r="AA24" s="126"/>
      <c r="AB24" s="126"/>
      <c r="AC24" s="126"/>
      <c r="AD24" s="126"/>
      <c r="AE24" s="126"/>
      <c r="AF24" s="107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6"/>
      <c r="AT24" s="136"/>
      <c r="AU24" s="134"/>
      <c r="AV24" s="134"/>
      <c r="AW24" s="134"/>
      <c r="AX24" s="134"/>
      <c r="AY24" s="134"/>
      <c r="AZ24" s="136"/>
    </row>
    <row r="25" spans="1:52" x14ac:dyDescent="0.25">
      <c r="A25" s="48"/>
      <c r="B25" s="23" t="s">
        <v>269</v>
      </c>
      <c r="C25" s="63">
        <f>COUNTIFS('File Tracker'!$A$3:$A$169,"*Chapter 1 *",'File Tracker'!$D$3:$D$169,"*[0]*")</f>
        <v>11</v>
      </c>
      <c r="D25" s="63">
        <f>COUNTIFS('File Tracker'!$A$3:$A$169,"*Chapter 1 *",'File Tracker'!$D$3:$D$169,"*[1]*")</f>
        <v>0</v>
      </c>
      <c r="E25" s="65">
        <f>COUNTIFS('File Tracker'!$A$3:$A$169,"*Chapter 1 *",'File Tracker'!$D$3:$D$169,"*[2]*")</f>
        <v>0</v>
      </c>
      <c r="F25" s="65">
        <f>COUNTIFS('File Tracker'!$A$3:$A$169,"*Chapter 1 *",'File Tracker'!$D$3:$D$169,"*[3]*")</f>
        <v>0</v>
      </c>
      <c r="G25" s="67">
        <f>COUNTIFS('File Tracker'!$A$3:$A$169,"*Chapter 1 *",'File Tracker'!$D$3:$D$169,"*[4]*")</f>
        <v>0</v>
      </c>
      <c r="H25" s="67">
        <f>COUNTIFS('File Tracker'!$A$3:$A$169,"*Chapter 1 *",'File Tracker'!$D$3:$D$169,"*[5]*")</f>
        <v>0</v>
      </c>
      <c r="I25" s="67">
        <f>COUNTIFS('File Tracker'!$A$3:$A$169,"*Chapter 1 *",'File Tracker'!$D$3:$D$169,"*[6]*")</f>
        <v>0</v>
      </c>
      <c r="J25" s="67">
        <f>COUNTIFS('File Tracker'!$A$3:$A$169,"*Chapter 1 *",'File Tracker'!$D$3:$D$169,"*[7]*")</f>
        <v>0</v>
      </c>
      <c r="K25" s="67">
        <f>COUNTIFS('File Tracker'!$A$3:$A$169,"*Chapter 1 *",'File Tracker'!$D$3:$D$169,"*[8]*")</f>
        <v>0</v>
      </c>
      <c r="L25" s="61">
        <f>SUM(C25:K25)</f>
        <v>11</v>
      </c>
      <c r="M25" s="103"/>
      <c r="N25" s="155"/>
      <c r="O25" s="155"/>
      <c r="P25" s="155"/>
      <c r="Q25" s="155"/>
      <c r="R25" s="155"/>
      <c r="S25" s="155"/>
      <c r="T25" s="155"/>
      <c r="U25" s="155"/>
      <c r="V25" s="155"/>
      <c r="W25" s="126"/>
      <c r="X25" s="126"/>
      <c r="Y25" s="126"/>
      <c r="Z25" s="126"/>
      <c r="AA25" s="126"/>
      <c r="AB25" s="126"/>
      <c r="AC25" s="126"/>
      <c r="AD25" s="126"/>
      <c r="AE25" s="126"/>
      <c r="AF25" s="89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08"/>
      <c r="AT25" s="108"/>
      <c r="AU25" s="132"/>
      <c r="AV25" s="132"/>
      <c r="AW25" s="132"/>
      <c r="AX25" s="132"/>
      <c r="AY25" s="132"/>
      <c r="AZ25" s="108"/>
    </row>
    <row r="26" spans="1:52" ht="15.75" thickBot="1" x14ac:dyDescent="0.3">
      <c r="A26" s="48"/>
      <c r="B26" s="24">
        <f>COUNTIF('File Tracker'!$A$3:A$169,"*Chapter 1 *")</f>
        <v>11</v>
      </c>
      <c r="C26" s="64">
        <f>C25/$B$26</f>
        <v>1</v>
      </c>
      <c r="D26" s="64">
        <f t="shared" ref="D26:I26" si="1">D25/$B$26</f>
        <v>0</v>
      </c>
      <c r="E26" s="66">
        <f t="shared" si="1"/>
        <v>0</v>
      </c>
      <c r="F26" s="66">
        <f t="shared" si="1"/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8">
        <f>J25/$B$26</f>
        <v>0</v>
      </c>
      <c r="K26" s="68">
        <f>K25/$B$26</f>
        <v>0</v>
      </c>
      <c r="L26" s="62">
        <f>SUM(C26:K26)</f>
        <v>1</v>
      </c>
      <c r="M26" s="105"/>
      <c r="N26" s="155"/>
      <c r="O26" s="155"/>
      <c r="P26" s="155"/>
      <c r="Q26" s="155"/>
      <c r="R26" s="155"/>
      <c r="S26" s="155"/>
      <c r="T26" s="155"/>
      <c r="U26" s="155"/>
      <c r="V26" s="155"/>
      <c r="W26" s="126"/>
      <c r="X26" s="126"/>
      <c r="Y26" s="126"/>
      <c r="Z26" s="126"/>
      <c r="AA26" s="126"/>
      <c r="AB26" s="126"/>
      <c r="AC26" s="126"/>
      <c r="AD26" s="126"/>
      <c r="AE26" s="126"/>
      <c r="AF26" s="89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08"/>
      <c r="AT26" s="108"/>
      <c r="AU26" s="132"/>
      <c r="AV26" s="132"/>
      <c r="AW26" s="132"/>
      <c r="AX26" s="132"/>
      <c r="AY26" s="132"/>
      <c r="AZ26" s="108"/>
    </row>
    <row r="27" spans="1:52" ht="6" customHeight="1" thickBot="1" x14ac:dyDescent="0.3">
      <c r="A27" s="48"/>
      <c r="B27" s="39"/>
      <c r="C27" s="40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55"/>
      <c r="O27" s="155"/>
      <c r="P27" s="155"/>
      <c r="Q27" s="155"/>
      <c r="R27" s="155"/>
      <c r="S27" s="155"/>
      <c r="T27" s="155"/>
      <c r="U27" s="155"/>
      <c r="V27" s="155"/>
      <c r="W27" s="126"/>
      <c r="X27" s="126"/>
      <c r="Y27" s="126"/>
      <c r="Z27" s="126"/>
      <c r="AA27" s="126"/>
      <c r="AB27" s="126"/>
      <c r="AC27" s="126"/>
      <c r="AD27" s="126"/>
      <c r="AE27" s="126"/>
      <c r="AF27" s="89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08"/>
      <c r="AT27" s="108"/>
      <c r="AU27" s="108"/>
      <c r="AV27" s="108"/>
      <c r="AW27" s="108"/>
      <c r="AX27" s="108"/>
      <c r="AY27" s="108"/>
      <c r="AZ27" s="108"/>
    </row>
    <row r="28" spans="1:52" x14ac:dyDescent="0.25">
      <c r="A28" s="48"/>
      <c r="B28" s="23" t="s">
        <v>271</v>
      </c>
      <c r="C28" s="63">
        <f>COUNTIFS('File Tracker'!$A$3:$A$169,"*Chapter 2 *",'File Tracker'!$D$3:$D$169,"*[0]*")</f>
        <v>14</v>
      </c>
      <c r="D28" s="63">
        <f>COUNTIFS('File Tracker'!$A$3:$A$169,"*Chapter 2*",'File Tracker'!$D$3:$D$169,"*[1]*")</f>
        <v>0</v>
      </c>
      <c r="E28" s="65">
        <f>COUNTIFS('File Tracker'!$A$3:$A$169,"*Chapter 2*",'File Tracker'!$D$3:$D$169,"*[2]*")</f>
        <v>0</v>
      </c>
      <c r="F28" s="65">
        <f>COUNTIFS('File Tracker'!$A$3:$A$169,"*Chapter 2 *",'File Tracker'!$D$3:$D$169,"*[3]*")</f>
        <v>0</v>
      </c>
      <c r="G28" s="67">
        <f>COUNTIFS('File Tracker'!$A$3:$A$169,"*Chapter 2 *",'File Tracker'!$D$3:$D$169,"*[4]*")</f>
        <v>0</v>
      </c>
      <c r="H28" s="67">
        <f>COUNTIFS('File Tracker'!$A$3:$A$169,"*Chapter 2 *",'File Tracker'!$D$3:$D$169,"*[5]*")</f>
        <v>0</v>
      </c>
      <c r="I28" s="67">
        <f>COUNTIFS('File Tracker'!$A$3:$A$169,"*Chapter 2 *",'File Tracker'!$D$3:$D$169,"*[6]*")</f>
        <v>0</v>
      </c>
      <c r="J28" s="67">
        <f>COUNTIFS('File Tracker'!$A$3:$A$169,"*Chapter 2 *",'File Tracker'!$D$3:$D$169,"*[7]*")</f>
        <v>0</v>
      </c>
      <c r="K28" s="67">
        <f>COUNTIFS('File Tracker'!$A$3:$A$169,"*Chapter 2 *",'File Tracker'!$D$3:$D$169,"*[8]*")</f>
        <v>0</v>
      </c>
      <c r="L28" s="61">
        <f>SUM(C28:K28)</f>
        <v>14</v>
      </c>
      <c r="M28" s="103"/>
      <c r="N28" s="155"/>
      <c r="O28" s="155"/>
      <c r="P28" s="155"/>
      <c r="Q28" s="155"/>
      <c r="R28" s="155"/>
      <c r="S28" s="155"/>
      <c r="T28" s="155"/>
      <c r="U28" s="155"/>
      <c r="V28" s="155"/>
      <c r="W28" s="126"/>
      <c r="X28" s="126"/>
      <c r="Y28" s="126"/>
      <c r="Z28" s="126"/>
      <c r="AA28" s="126"/>
      <c r="AB28" s="126"/>
      <c r="AC28" s="126"/>
      <c r="AD28" s="126"/>
      <c r="AE28" s="126"/>
      <c r="AF28" s="89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08"/>
      <c r="AT28" s="108"/>
      <c r="AU28" s="108"/>
      <c r="AV28" s="108"/>
      <c r="AW28" s="108"/>
      <c r="AX28" s="108"/>
      <c r="AY28" s="108"/>
      <c r="AZ28" s="108"/>
    </row>
    <row r="29" spans="1:52" ht="15.75" thickBot="1" x14ac:dyDescent="0.3">
      <c r="A29" s="48"/>
      <c r="B29" s="24">
        <f>COUNTIF('File Tracker'!$A$3:A$169,"*Chapter 2 *")</f>
        <v>14</v>
      </c>
      <c r="C29" s="64">
        <f t="shared" ref="C29:K29" si="2">C28/$B$29</f>
        <v>1</v>
      </c>
      <c r="D29" s="64">
        <f t="shared" si="2"/>
        <v>0</v>
      </c>
      <c r="E29" s="66">
        <f t="shared" si="2"/>
        <v>0</v>
      </c>
      <c r="F29" s="66">
        <f t="shared" si="2"/>
        <v>0</v>
      </c>
      <c r="G29" s="68">
        <f t="shared" si="2"/>
        <v>0</v>
      </c>
      <c r="H29" s="68">
        <f t="shared" si="2"/>
        <v>0</v>
      </c>
      <c r="I29" s="68">
        <f t="shared" si="2"/>
        <v>0</v>
      </c>
      <c r="J29" s="68">
        <f t="shared" si="2"/>
        <v>0</v>
      </c>
      <c r="K29" s="68">
        <f t="shared" si="2"/>
        <v>0</v>
      </c>
      <c r="L29" s="62">
        <f>SUM(C29:K29)</f>
        <v>1</v>
      </c>
      <c r="M29" s="105"/>
      <c r="N29" s="155"/>
      <c r="O29" s="155"/>
      <c r="P29" s="155"/>
      <c r="Q29" s="155"/>
      <c r="R29" s="155"/>
      <c r="S29" s="155"/>
      <c r="T29" s="155"/>
      <c r="U29" s="155"/>
      <c r="V29" s="155"/>
      <c r="W29" s="126"/>
      <c r="X29" s="126"/>
      <c r="Y29" s="126"/>
      <c r="Z29" s="126"/>
      <c r="AA29" s="126"/>
      <c r="AB29" s="126"/>
      <c r="AC29" s="126"/>
      <c r="AD29" s="126"/>
      <c r="AE29" s="126"/>
      <c r="AF29" s="89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08"/>
      <c r="AT29" s="108"/>
      <c r="AU29" s="108"/>
      <c r="AV29" s="108"/>
      <c r="AW29" s="108"/>
      <c r="AX29" s="108"/>
      <c r="AY29" s="108"/>
      <c r="AZ29" s="108"/>
    </row>
    <row r="30" spans="1:52" ht="6" customHeight="1" thickBot="1" x14ac:dyDescent="0.3">
      <c r="A30" s="48"/>
      <c r="B30" s="39"/>
      <c r="C30" s="40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55"/>
      <c r="O30" s="155"/>
      <c r="P30" s="155"/>
      <c r="Q30" s="155"/>
      <c r="R30" s="155"/>
      <c r="S30" s="155"/>
      <c r="T30" s="155"/>
      <c r="U30" s="155"/>
      <c r="V30" s="155"/>
      <c r="W30" s="126"/>
      <c r="X30" s="126"/>
      <c r="Y30" s="126"/>
      <c r="Z30" s="126"/>
      <c r="AA30" s="126"/>
      <c r="AB30" s="126"/>
      <c r="AC30" s="126"/>
      <c r="AD30" s="126"/>
      <c r="AE30" s="126"/>
      <c r="AF30" s="89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08"/>
      <c r="AT30" s="108"/>
      <c r="AU30" s="108"/>
      <c r="AV30" s="108"/>
      <c r="AW30" s="108"/>
      <c r="AX30" s="108"/>
      <c r="AY30" s="108"/>
      <c r="AZ30" s="108"/>
    </row>
    <row r="31" spans="1:52" x14ac:dyDescent="0.25">
      <c r="A31" s="48"/>
      <c r="B31" s="23" t="s">
        <v>272</v>
      </c>
      <c r="C31" s="63">
        <f>COUNTIFS('File Tracker'!$A$3:$A$169,"*Chapter 3 *",'File Tracker'!$D$3:$D$169,"*[0]*")</f>
        <v>8</v>
      </c>
      <c r="D31" s="63">
        <f>COUNTIFS('File Tracker'!$A$3:$A$169,"*Chapter 3 *",'File Tracker'!$D$3:$D$169,"*[1]*")</f>
        <v>0</v>
      </c>
      <c r="E31" s="65">
        <f>COUNTIFS('File Tracker'!$A$3:$A$169,"*Chapter 3 *",'File Tracker'!$D$3:$D$169,"*[2]*")</f>
        <v>0</v>
      </c>
      <c r="F31" s="65">
        <f>COUNTIFS('File Tracker'!$A$3:$A$169,"*Chapter 3 *",'File Tracker'!$D$3:$D$169,"*[3]*")</f>
        <v>0</v>
      </c>
      <c r="G31" s="67">
        <f>COUNTIFS('File Tracker'!$A$3:$A$169,"*Chapter 3 *",'File Tracker'!$D$3:$D$169,"*[4]*")</f>
        <v>0</v>
      </c>
      <c r="H31" s="67">
        <f>COUNTIFS('File Tracker'!$A$3:$A$169,"*Chapter 3 *",'File Tracker'!$D$3:$D$169,"*[5]*")</f>
        <v>0</v>
      </c>
      <c r="I31" s="67">
        <f>COUNTIFS('File Tracker'!$A$3:$A$169,"*Chapter 3 *",'File Tracker'!$D$3:$D$169,"*[6]*")</f>
        <v>0</v>
      </c>
      <c r="J31" s="67">
        <f>COUNTIFS('File Tracker'!$A$3:$A$169,"*Chapter 3 *",'File Tracker'!$D$3:$D$169,"*[7]*")</f>
        <v>0</v>
      </c>
      <c r="K31" s="67">
        <f>COUNTIFS('File Tracker'!$A$3:$A$169,"*Chapter 3 *",'File Tracker'!$D$3:$D$169,"*[8]*")</f>
        <v>0</v>
      </c>
      <c r="L31" s="61">
        <f t="shared" ref="L31:L92" si="3">SUM(C31:K31)</f>
        <v>8</v>
      </c>
      <c r="M31" s="103"/>
      <c r="N31" s="155"/>
      <c r="O31" s="155"/>
      <c r="P31" s="155"/>
      <c r="Q31" s="155"/>
      <c r="R31" s="155"/>
      <c r="S31" s="155"/>
      <c r="T31" s="155"/>
      <c r="U31" s="155"/>
      <c r="V31" s="155"/>
      <c r="W31" s="126"/>
      <c r="X31" s="126"/>
      <c r="Y31" s="126"/>
      <c r="Z31" s="126"/>
      <c r="AA31" s="126"/>
      <c r="AB31" s="126"/>
      <c r="AC31" s="126"/>
      <c r="AD31" s="126"/>
      <c r="AE31" s="126"/>
      <c r="AF31" s="89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94"/>
      <c r="AT31" s="94"/>
      <c r="AU31" s="94"/>
      <c r="AV31" s="94"/>
      <c r="AW31" s="94"/>
      <c r="AX31" s="94"/>
      <c r="AY31" s="94"/>
    </row>
    <row r="32" spans="1:52" ht="15.75" thickBot="1" x14ac:dyDescent="0.3">
      <c r="A32" s="48"/>
      <c r="B32" s="24">
        <f>COUNTIF('File Tracker'!$A$3:A$169,"*Chapter 3 *")</f>
        <v>8</v>
      </c>
      <c r="C32" s="64">
        <f t="shared" ref="C32:K32" si="4">C31/$B$32</f>
        <v>1</v>
      </c>
      <c r="D32" s="64">
        <f t="shared" si="4"/>
        <v>0</v>
      </c>
      <c r="E32" s="66">
        <f t="shared" si="4"/>
        <v>0</v>
      </c>
      <c r="F32" s="66">
        <f t="shared" si="4"/>
        <v>0</v>
      </c>
      <c r="G32" s="68">
        <f t="shared" si="4"/>
        <v>0</v>
      </c>
      <c r="H32" s="68">
        <f t="shared" si="4"/>
        <v>0</v>
      </c>
      <c r="I32" s="68">
        <f t="shared" si="4"/>
        <v>0</v>
      </c>
      <c r="J32" s="68">
        <f t="shared" si="4"/>
        <v>0</v>
      </c>
      <c r="K32" s="68">
        <f t="shared" si="4"/>
        <v>0</v>
      </c>
      <c r="L32" s="62">
        <f t="shared" si="3"/>
        <v>1</v>
      </c>
      <c r="M32" s="105"/>
      <c r="N32" s="155"/>
      <c r="O32" s="155"/>
      <c r="P32" s="155"/>
      <c r="Q32" s="155"/>
      <c r="R32" s="155"/>
      <c r="S32" s="155"/>
      <c r="T32" s="155"/>
      <c r="U32" s="155"/>
      <c r="V32" s="155"/>
      <c r="W32" s="126"/>
      <c r="X32" s="126"/>
      <c r="Y32" s="126"/>
      <c r="Z32" s="126"/>
      <c r="AA32" s="126"/>
      <c r="AB32" s="126"/>
      <c r="AC32" s="126"/>
      <c r="AD32" s="126"/>
      <c r="AE32" s="126"/>
      <c r="AF32" s="89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</row>
    <row r="33" spans="1:51" ht="6" customHeight="1" thickBot="1" x14ac:dyDescent="0.3">
      <c r="A33" s="48"/>
      <c r="B33" s="39"/>
      <c r="C33" s="40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55"/>
      <c r="O33" s="155"/>
      <c r="P33" s="155"/>
      <c r="Q33" s="155"/>
      <c r="R33" s="155"/>
      <c r="S33" s="155"/>
      <c r="T33" s="155"/>
      <c r="U33" s="155"/>
      <c r="V33" s="155"/>
      <c r="W33" s="126"/>
      <c r="X33" s="126"/>
      <c r="Y33" s="126"/>
      <c r="Z33" s="126"/>
      <c r="AA33" s="126"/>
      <c r="AB33" s="126"/>
      <c r="AC33" s="126"/>
      <c r="AD33" s="126"/>
      <c r="AE33" s="126"/>
      <c r="AF33" s="89"/>
      <c r="AT33" s="4"/>
      <c r="AU33" s="4"/>
      <c r="AV33" s="4"/>
      <c r="AW33" s="4"/>
      <c r="AX33" s="4"/>
      <c r="AY33" s="4"/>
    </row>
    <row r="34" spans="1:51" x14ac:dyDescent="0.25">
      <c r="A34" s="48"/>
      <c r="B34" s="23" t="s">
        <v>273</v>
      </c>
      <c r="C34" s="63">
        <f>COUNTIFS('File Tracker'!$A$3:$A$169,"*Chapter 4 *",'File Tracker'!$D$3:$D$169,"*[0]*")</f>
        <v>4</v>
      </c>
      <c r="D34" s="63">
        <f>COUNTIFS('File Tracker'!$A$3:$A$169,"*Chapter 4 *",'File Tracker'!$D$3:$D$169,"*[1]*")</f>
        <v>0</v>
      </c>
      <c r="E34" s="65">
        <f>COUNTIFS('File Tracker'!$A$3:$A$169,"*Chapter 4 *",'File Tracker'!$D$3:$D$169,"*[2]*")</f>
        <v>0</v>
      </c>
      <c r="F34" s="65">
        <f>COUNTIFS('File Tracker'!$A$3:$A$169,"*Chapter 4 *",'File Tracker'!$D$3:$D$169,"*[3]*")</f>
        <v>0</v>
      </c>
      <c r="G34" s="67">
        <f>COUNTIFS('File Tracker'!$A$3:$A$169,"*Chapter 4 *",'File Tracker'!$D$3:$D$169,"*[4]*")</f>
        <v>0</v>
      </c>
      <c r="H34" s="67">
        <f>COUNTIFS('File Tracker'!$A$3:$A$169,"*Chapter 4 *",'File Tracker'!$D$3:$D$169,"*[5]*")</f>
        <v>0</v>
      </c>
      <c r="I34" s="67">
        <f>COUNTIFS('File Tracker'!$A$3:$A$169,"*Chapter 4 *",'File Tracker'!$D$3:$D$169,"*[6]*")</f>
        <v>0</v>
      </c>
      <c r="J34" s="67">
        <f>COUNTIFS('File Tracker'!$A$3:$A$169,"*Chapter 4 *",'File Tracker'!$D$3:$D$169,"*[7]*")</f>
        <v>0</v>
      </c>
      <c r="K34" s="67">
        <f>COUNTIFS('File Tracker'!$A$3:$A$169,"*Chapter 4 *",'File Tracker'!$D$3:$D$169,"*[8]*")</f>
        <v>0</v>
      </c>
      <c r="L34" s="61">
        <f t="shared" si="3"/>
        <v>4</v>
      </c>
      <c r="M34" s="103"/>
      <c r="N34" s="155"/>
      <c r="O34" s="155"/>
      <c r="P34" s="155"/>
      <c r="Q34" s="155"/>
      <c r="R34" s="155"/>
      <c r="S34" s="155"/>
      <c r="T34" s="155"/>
      <c r="U34" s="155"/>
      <c r="V34" s="155"/>
      <c r="W34" s="126"/>
      <c r="X34" s="126"/>
      <c r="Y34" s="126"/>
      <c r="Z34" s="126"/>
      <c r="AA34" s="126"/>
      <c r="AB34" s="126"/>
      <c r="AC34" s="126"/>
      <c r="AD34" s="126"/>
      <c r="AE34" s="126"/>
      <c r="AF34" s="89"/>
      <c r="AT34" s="4"/>
      <c r="AU34" s="4"/>
      <c r="AV34" s="4"/>
      <c r="AW34" s="4"/>
      <c r="AX34" s="4"/>
      <c r="AY34" s="4"/>
    </row>
    <row r="35" spans="1:51" ht="15.75" thickBot="1" x14ac:dyDescent="0.3">
      <c r="A35" s="48"/>
      <c r="B35" s="24">
        <f>COUNTIF('File Tracker'!$A$3:A$169,"*Chapter 4 *")</f>
        <v>4</v>
      </c>
      <c r="C35" s="64">
        <f t="shared" ref="C35:K35" si="5">C34/$B$35</f>
        <v>1</v>
      </c>
      <c r="D35" s="64">
        <f t="shared" si="5"/>
        <v>0</v>
      </c>
      <c r="E35" s="66">
        <f t="shared" si="5"/>
        <v>0</v>
      </c>
      <c r="F35" s="66">
        <f t="shared" si="5"/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2">
        <f t="shared" si="3"/>
        <v>1</v>
      </c>
      <c r="M35" s="105"/>
      <c r="N35" s="155"/>
      <c r="O35" s="155"/>
      <c r="P35" s="155"/>
      <c r="Q35" s="155"/>
      <c r="R35" s="155"/>
      <c r="S35" s="155"/>
      <c r="T35" s="155"/>
      <c r="U35" s="155"/>
      <c r="V35" s="155"/>
      <c r="W35" s="126"/>
      <c r="X35" s="126"/>
      <c r="Y35" s="126"/>
      <c r="Z35" s="126"/>
      <c r="AA35" s="126"/>
      <c r="AB35" s="126"/>
      <c r="AC35" s="126"/>
      <c r="AD35" s="126"/>
      <c r="AE35" s="126"/>
      <c r="AF35" s="89"/>
      <c r="AT35" s="4"/>
      <c r="AU35" s="4"/>
      <c r="AV35" s="4"/>
      <c r="AW35" s="4"/>
      <c r="AX35" s="4"/>
      <c r="AY35" s="4"/>
    </row>
    <row r="36" spans="1:51" ht="6" customHeight="1" thickBot="1" x14ac:dyDescent="0.3">
      <c r="A36" s="48"/>
      <c r="B36" s="39"/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155"/>
      <c r="O36" s="155"/>
      <c r="P36" s="155"/>
      <c r="Q36" s="155"/>
      <c r="R36" s="155"/>
      <c r="S36" s="155"/>
      <c r="T36" s="155"/>
      <c r="U36" s="155"/>
      <c r="V36" s="155"/>
      <c r="W36" s="126"/>
      <c r="X36" s="126"/>
      <c r="Y36" s="126"/>
      <c r="Z36" s="126"/>
      <c r="AA36" s="126"/>
      <c r="AB36" s="126"/>
      <c r="AC36" s="126"/>
      <c r="AD36" s="126"/>
      <c r="AE36" s="126"/>
      <c r="AF36" s="89"/>
    </row>
    <row r="37" spans="1:51" x14ac:dyDescent="0.25">
      <c r="A37" s="48"/>
      <c r="B37" s="23" t="s">
        <v>274</v>
      </c>
      <c r="C37" s="63">
        <f>COUNTIFS('File Tracker'!$A$3:$A$169,"*Chapter 5 *",'File Tracker'!$D$3:$D$169,"*[0]*")</f>
        <v>8</v>
      </c>
      <c r="D37" s="63">
        <f>COUNTIFS('File Tracker'!$A$3:$A$169,"*Chapter 5 *",'File Tracker'!$D$3:$D$169,"*[1]*")</f>
        <v>0</v>
      </c>
      <c r="E37" s="65">
        <f>COUNTIFS('File Tracker'!$A$3:$A$169,"*Chapter 5 *",'File Tracker'!$D$3:$D$169,"*[2]*")</f>
        <v>0</v>
      </c>
      <c r="F37" s="65">
        <f>COUNTIFS('File Tracker'!$A$3:$A$169,"*Chapter 5 *",'File Tracker'!$D$3:$D$169,"*[3]*")</f>
        <v>0</v>
      </c>
      <c r="G37" s="67">
        <f>COUNTIFS('File Tracker'!$A$3:$A$169,"*Chapter 5 *",'File Tracker'!$D$3:$D$169,"*[4]*")</f>
        <v>0</v>
      </c>
      <c r="H37" s="67">
        <f>COUNTIFS('File Tracker'!$A$3:$A$169,"*Chapter 5 *",'File Tracker'!$D$3:$D$169,"*[5]*")</f>
        <v>0</v>
      </c>
      <c r="I37" s="67">
        <f>COUNTIFS('File Tracker'!$A$3:$A$169,"*Chapter 5 *",'File Tracker'!$D$3:$D$169,"*[6]*")</f>
        <v>0</v>
      </c>
      <c r="J37" s="67">
        <f>COUNTIFS('File Tracker'!$A$3:$A$169,"*Chapter 5 *",'File Tracker'!$D$3:$D$169,"*[7]*")</f>
        <v>0</v>
      </c>
      <c r="K37" s="67">
        <f>COUNTIFS('File Tracker'!$A$3:$A$169,"*Chapter 5 *",'File Tracker'!$D$3:$D$169,"*[8]*")</f>
        <v>0</v>
      </c>
      <c r="L37" s="61">
        <f t="shared" si="3"/>
        <v>8</v>
      </c>
      <c r="M37" s="103"/>
      <c r="N37" s="155"/>
      <c r="O37" s="155"/>
      <c r="P37" s="155"/>
      <c r="Q37" s="155"/>
      <c r="R37" s="155"/>
      <c r="S37" s="155"/>
      <c r="T37" s="155"/>
      <c r="U37" s="155"/>
      <c r="V37" s="155"/>
      <c r="W37" s="126"/>
      <c r="X37" s="126"/>
      <c r="Y37" s="126"/>
      <c r="Z37" s="126"/>
      <c r="AA37" s="126"/>
      <c r="AB37" s="126"/>
      <c r="AC37" s="126"/>
      <c r="AD37" s="126"/>
      <c r="AE37" s="126"/>
      <c r="AF37" s="89"/>
    </row>
    <row r="38" spans="1:51" ht="15.75" thickBot="1" x14ac:dyDescent="0.3">
      <c r="A38" s="48"/>
      <c r="B38" s="24">
        <f>COUNTIF('File Tracker'!$A$3:A$169,"*Chapter 5 *")</f>
        <v>8</v>
      </c>
      <c r="C38" s="64">
        <f t="shared" ref="C38:K38" si="6">C37/$B$38</f>
        <v>1</v>
      </c>
      <c r="D38" s="64">
        <f t="shared" si="6"/>
        <v>0</v>
      </c>
      <c r="E38" s="66">
        <f t="shared" si="6"/>
        <v>0</v>
      </c>
      <c r="F38" s="66">
        <f t="shared" si="6"/>
        <v>0</v>
      </c>
      <c r="G38" s="68">
        <f t="shared" si="6"/>
        <v>0</v>
      </c>
      <c r="H38" s="68">
        <f t="shared" si="6"/>
        <v>0</v>
      </c>
      <c r="I38" s="68">
        <f t="shared" si="6"/>
        <v>0</v>
      </c>
      <c r="J38" s="68">
        <f t="shared" si="6"/>
        <v>0</v>
      </c>
      <c r="K38" s="68">
        <f t="shared" si="6"/>
        <v>0</v>
      </c>
      <c r="L38" s="62">
        <f t="shared" si="3"/>
        <v>1</v>
      </c>
      <c r="M38" s="105"/>
      <c r="N38" s="155"/>
      <c r="O38" s="155"/>
      <c r="P38" s="155"/>
      <c r="Q38" s="155"/>
      <c r="R38" s="155"/>
      <c r="S38" s="155"/>
      <c r="T38" s="155"/>
      <c r="U38" s="155"/>
      <c r="V38" s="155"/>
      <c r="W38" s="126"/>
      <c r="X38" s="126"/>
      <c r="Y38" s="126"/>
      <c r="Z38" s="126"/>
      <c r="AA38" s="126"/>
      <c r="AB38" s="126"/>
      <c r="AC38" s="126"/>
      <c r="AD38" s="126"/>
      <c r="AE38" s="126"/>
      <c r="AF38" s="89"/>
    </row>
    <row r="39" spans="1:51" ht="6" customHeight="1" thickBot="1" x14ac:dyDescent="0.3">
      <c r="A39" s="48"/>
      <c r="B39" s="39"/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155"/>
      <c r="O39" s="155"/>
      <c r="P39" s="155"/>
      <c r="Q39" s="155"/>
      <c r="R39" s="155"/>
      <c r="S39" s="155"/>
      <c r="T39" s="155"/>
      <c r="U39" s="155"/>
      <c r="V39" s="155"/>
      <c r="W39" s="126"/>
      <c r="X39" s="126"/>
      <c r="Y39" s="126"/>
      <c r="Z39" s="126"/>
      <c r="AA39" s="126"/>
      <c r="AB39" s="126"/>
      <c r="AC39" s="126"/>
      <c r="AD39" s="126"/>
      <c r="AE39" s="126"/>
      <c r="AF39" s="89"/>
    </row>
    <row r="40" spans="1:51" x14ac:dyDescent="0.25">
      <c r="A40" s="48"/>
      <c r="B40" s="23" t="s">
        <v>275</v>
      </c>
      <c r="C40" s="63">
        <f>COUNTIFS('File Tracker'!$A$3:$A$169,"*Chapter 6 *",'File Tracker'!$D$3:$D$169,"*[0]*")</f>
        <v>12</v>
      </c>
      <c r="D40" s="63">
        <f>COUNTIFS('File Tracker'!$A$3:$A$169,"*Chapter 6 *",'File Tracker'!$D$3:$D$169,"*[1]*")</f>
        <v>0</v>
      </c>
      <c r="E40" s="65">
        <f>COUNTIFS('File Tracker'!$A$3:$A$169,"*Chapter 6 *",'File Tracker'!$D$3:$D$169,"*[2]*")</f>
        <v>0</v>
      </c>
      <c r="F40" s="65">
        <f>COUNTIFS('File Tracker'!$A$3:$A$169,"*Chapter 6 *",'File Tracker'!$D$3:$D$169,"*[3]*")</f>
        <v>0</v>
      </c>
      <c r="G40" s="67">
        <f>COUNTIFS('File Tracker'!$A$3:$A$169,"*Chapter 6 *",'File Tracker'!$D$3:$D$169,"*[4]*")</f>
        <v>0</v>
      </c>
      <c r="H40" s="67">
        <f>COUNTIFS('File Tracker'!$A$3:$A$169,"*Chapter 6 *",'File Tracker'!$D$3:$D$169,"*[5]*")</f>
        <v>0</v>
      </c>
      <c r="I40" s="67">
        <f>COUNTIFS('File Tracker'!$A$3:$A$169,"*Chapter 6 *",'File Tracker'!$D$3:$D$169,"*[6]*")</f>
        <v>0</v>
      </c>
      <c r="J40" s="67">
        <f>COUNTIFS('File Tracker'!$A$3:$A$169,"*Chapter 6 *",'File Tracker'!$D$3:$D$169,"*[7]*")</f>
        <v>0</v>
      </c>
      <c r="K40" s="67">
        <f>COUNTIFS('File Tracker'!$A$3:$A$169,"*Chapter 6 *",'File Tracker'!$D$3:$D$169,"*[8]*")</f>
        <v>0</v>
      </c>
      <c r="L40" s="61">
        <f t="shared" si="3"/>
        <v>12</v>
      </c>
      <c r="M40" s="103"/>
      <c r="N40" s="155"/>
      <c r="O40" s="155"/>
      <c r="P40" s="155"/>
      <c r="Q40" s="155"/>
      <c r="R40" s="155"/>
      <c r="S40" s="155"/>
      <c r="T40" s="155"/>
      <c r="U40" s="155"/>
      <c r="V40" s="155"/>
      <c r="W40" s="126"/>
      <c r="X40" s="126"/>
      <c r="Y40" s="126"/>
      <c r="Z40" s="126"/>
      <c r="AA40" s="126"/>
      <c r="AB40" s="126"/>
      <c r="AC40" s="126"/>
      <c r="AD40" s="126"/>
      <c r="AE40" s="126"/>
      <c r="AF40" s="89"/>
    </row>
    <row r="41" spans="1:51" ht="15.75" thickBot="1" x14ac:dyDescent="0.3">
      <c r="A41" s="48"/>
      <c r="B41" s="24">
        <f>COUNTIF('File Tracker'!$A$3:A$169,"*Chapter 6 *")</f>
        <v>12</v>
      </c>
      <c r="C41" s="64">
        <f t="shared" ref="C41:K41" si="7">C40/$B$41</f>
        <v>1</v>
      </c>
      <c r="D41" s="64">
        <f t="shared" si="7"/>
        <v>0</v>
      </c>
      <c r="E41" s="66">
        <f t="shared" si="7"/>
        <v>0</v>
      </c>
      <c r="F41" s="66">
        <f t="shared" si="7"/>
        <v>0</v>
      </c>
      <c r="G41" s="68">
        <f t="shared" si="7"/>
        <v>0</v>
      </c>
      <c r="H41" s="68">
        <f t="shared" si="7"/>
        <v>0</v>
      </c>
      <c r="I41" s="68">
        <f t="shared" si="7"/>
        <v>0</v>
      </c>
      <c r="J41" s="68">
        <f t="shared" si="7"/>
        <v>0</v>
      </c>
      <c r="K41" s="68">
        <f t="shared" si="7"/>
        <v>0</v>
      </c>
      <c r="L41" s="62">
        <f t="shared" si="3"/>
        <v>1</v>
      </c>
      <c r="M41" s="105"/>
      <c r="N41" s="155"/>
      <c r="O41" s="155"/>
      <c r="P41" s="155"/>
      <c r="Q41" s="155"/>
      <c r="R41" s="155"/>
      <c r="S41" s="155"/>
      <c r="T41" s="155"/>
      <c r="U41" s="155"/>
      <c r="V41" s="155"/>
      <c r="W41" s="126"/>
      <c r="X41" s="126"/>
      <c r="Y41" s="126"/>
      <c r="Z41" s="126"/>
      <c r="AA41" s="126"/>
      <c r="AB41" s="126"/>
      <c r="AC41" s="126"/>
      <c r="AD41" s="126"/>
      <c r="AE41" s="126"/>
      <c r="AF41" s="89"/>
    </row>
    <row r="42" spans="1:51" ht="6" customHeight="1" thickBot="1" x14ac:dyDescent="0.3">
      <c r="A42" s="48"/>
      <c r="B42" s="39"/>
      <c r="C42" s="4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155"/>
      <c r="O42" s="155"/>
      <c r="P42" s="155"/>
      <c r="Q42" s="155"/>
      <c r="R42" s="155"/>
      <c r="S42" s="155"/>
      <c r="T42" s="155"/>
      <c r="U42" s="155"/>
      <c r="V42" s="155"/>
      <c r="W42" s="126"/>
      <c r="X42" s="126"/>
      <c r="Y42" s="126"/>
      <c r="Z42" s="126"/>
      <c r="AA42" s="126"/>
      <c r="AB42" s="126"/>
      <c r="AC42" s="126"/>
      <c r="AD42" s="126"/>
      <c r="AE42" s="126"/>
      <c r="AF42" s="89"/>
    </row>
    <row r="43" spans="1:51" x14ac:dyDescent="0.25">
      <c r="A43" s="48"/>
      <c r="B43" s="23" t="s">
        <v>276</v>
      </c>
      <c r="C43" s="63">
        <f>COUNTIFS('File Tracker'!$A$3:$A$169,"*Chapter 7 *",'File Tracker'!$D$3:$D$169,"*[0]*")</f>
        <v>4</v>
      </c>
      <c r="D43" s="63">
        <f>COUNTIFS('File Tracker'!$A$3:$A$169,"*Chapter 7 *",'File Tracker'!$D$3:$D$169,"*[1]*")</f>
        <v>0</v>
      </c>
      <c r="E43" s="65">
        <f>COUNTIFS('File Tracker'!$A$3:$A$169,"*Chapter 7 *",'File Tracker'!$D$3:$D$169,"*[2]*")</f>
        <v>0</v>
      </c>
      <c r="F43" s="65">
        <f>COUNTIFS('File Tracker'!$A$3:$A$169,"*Chapter 7 *",'File Tracker'!$D$3:$D$169,"*[3]*")</f>
        <v>0</v>
      </c>
      <c r="G43" s="67">
        <f>COUNTIFS('File Tracker'!$A$3:$A$169,"*Chapter 7 *",'File Tracker'!$D$3:$D$169,"*[4]*")</f>
        <v>0</v>
      </c>
      <c r="H43" s="67">
        <f>COUNTIFS('File Tracker'!$A$3:$A$169,"*Chapter 7 *",'File Tracker'!$D$3:$D$169,"*[5]*")</f>
        <v>0</v>
      </c>
      <c r="I43" s="67">
        <f>COUNTIFS('File Tracker'!$A$3:$A$169,"*Chapter 7 *",'File Tracker'!$D$3:$D$169,"*[6]*")</f>
        <v>0</v>
      </c>
      <c r="J43" s="67">
        <f>COUNTIFS('File Tracker'!$A$3:$A$169,"*Chapter 7 *",'File Tracker'!$D$3:$D$169,"*[7]*")</f>
        <v>0</v>
      </c>
      <c r="K43" s="67">
        <f>COUNTIFS('File Tracker'!$A$3:$A$169,"*Chapter 7 *",'File Tracker'!$D$3:$D$169,"*[8]*")</f>
        <v>0</v>
      </c>
      <c r="L43" s="61">
        <f t="shared" si="3"/>
        <v>4</v>
      </c>
      <c r="M43" s="103"/>
      <c r="N43" s="155"/>
      <c r="O43" s="155"/>
      <c r="P43" s="155"/>
      <c r="Q43" s="155"/>
      <c r="R43" s="155"/>
      <c r="S43" s="155"/>
      <c r="T43" s="155"/>
      <c r="U43" s="155"/>
      <c r="V43" s="155"/>
      <c r="W43" s="126"/>
      <c r="X43" s="126"/>
      <c r="Y43" s="126"/>
      <c r="Z43" s="126"/>
      <c r="AA43" s="126"/>
      <c r="AB43" s="126"/>
      <c r="AC43" s="126"/>
      <c r="AD43" s="126"/>
      <c r="AE43" s="126"/>
      <c r="AF43" s="89"/>
    </row>
    <row r="44" spans="1:51" ht="15.75" thickBot="1" x14ac:dyDescent="0.3">
      <c r="A44" s="48"/>
      <c r="B44" s="24">
        <f>COUNTIF('File Tracker'!$A$3:A$169,"*Chapter 7 *")</f>
        <v>4</v>
      </c>
      <c r="C44" s="64">
        <f t="shared" ref="C44:K44" si="8">C43/$B$44</f>
        <v>1</v>
      </c>
      <c r="D44" s="64">
        <f t="shared" si="8"/>
        <v>0</v>
      </c>
      <c r="E44" s="66">
        <f t="shared" si="8"/>
        <v>0</v>
      </c>
      <c r="F44" s="66">
        <f t="shared" si="8"/>
        <v>0</v>
      </c>
      <c r="G44" s="68">
        <f t="shared" si="8"/>
        <v>0</v>
      </c>
      <c r="H44" s="68">
        <f t="shared" si="8"/>
        <v>0</v>
      </c>
      <c r="I44" s="68">
        <f t="shared" si="8"/>
        <v>0</v>
      </c>
      <c r="J44" s="68">
        <f t="shared" si="8"/>
        <v>0</v>
      </c>
      <c r="K44" s="68">
        <f t="shared" si="8"/>
        <v>0</v>
      </c>
      <c r="L44" s="62">
        <f t="shared" si="3"/>
        <v>1</v>
      </c>
      <c r="M44" s="10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89"/>
    </row>
    <row r="45" spans="1:51" ht="6" customHeight="1" thickBot="1" x14ac:dyDescent="0.3">
      <c r="A45" s="48"/>
      <c r="B45" s="39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89"/>
    </row>
    <row r="46" spans="1:51" x14ac:dyDescent="0.25">
      <c r="A46" s="48"/>
      <c r="B46" s="23" t="s">
        <v>277</v>
      </c>
      <c r="C46" s="63">
        <f>COUNTIFS('File Tracker'!$A$3:$A$169,"*Chapter 8 *",'File Tracker'!$D$3:$D$169,"*[0]*")</f>
        <v>12</v>
      </c>
      <c r="D46" s="63">
        <f>COUNTIFS('File Tracker'!$A$3:$A$169,"*Chapter 8 *",'File Tracker'!$D$3:$D$169,"*[1]*")</f>
        <v>0</v>
      </c>
      <c r="E46" s="65">
        <f>COUNTIFS('File Tracker'!$A$3:$A$169,"*Chapter 8 *",'File Tracker'!$D$3:$D$169,"*[2]*")</f>
        <v>0</v>
      </c>
      <c r="F46" s="65">
        <f>COUNTIFS('File Tracker'!$A$3:$A$169,"*Chapter 8 *",'File Tracker'!$D$3:$D$169,"*[3]*")</f>
        <v>0</v>
      </c>
      <c r="G46" s="67">
        <f>COUNTIFS('File Tracker'!$A$3:$A$169,"*Chapter 8 *",'File Tracker'!$D$3:$D$169,"*[4]*")</f>
        <v>0</v>
      </c>
      <c r="H46" s="67">
        <f>COUNTIFS('File Tracker'!$A$3:$A$169,"*Chapter 8 *",'File Tracker'!$D$3:$D$169,"*[5]*")</f>
        <v>0</v>
      </c>
      <c r="I46" s="67">
        <f>COUNTIFS('File Tracker'!$A$3:$A$169,"*Chapter 8 *",'File Tracker'!$D$3:$D$169,"*[6]*")</f>
        <v>0</v>
      </c>
      <c r="J46" s="67">
        <f>COUNTIFS('File Tracker'!$A$3:$A$169,"*Chapter 8 *",'File Tracker'!$D$3:$D$169,"*[7]*")</f>
        <v>0</v>
      </c>
      <c r="K46" s="67">
        <f>COUNTIFS('File Tracker'!$A$3:$A$169,"*Chapter 8 *",'File Tracker'!$D$3:$D$169,"*[8]*")</f>
        <v>0</v>
      </c>
      <c r="L46" s="61">
        <f t="shared" si="3"/>
        <v>12</v>
      </c>
      <c r="M46" s="103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89"/>
    </row>
    <row r="47" spans="1:51" ht="15.75" thickBot="1" x14ac:dyDescent="0.3">
      <c r="A47" s="48"/>
      <c r="B47" s="24">
        <f>COUNTIF('File Tracker'!$A$3:A$169,"*Chapter 8 *")</f>
        <v>12</v>
      </c>
      <c r="C47" s="64">
        <f t="shared" ref="C47:K47" si="9">C46/$B$47</f>
        <v>1</v>
      </c>
      <c r="D47" s="64">
        <f t="shared" si="9"/>
        <v>0</v>
      </c>
      <c r="E47" s="66">
        <f t="shared" si="9"/>
        <v>0</v>
      </c>
      <c r="F47" s="66">
        <f t="shared" si="9"/>
        <v>0</v>
      </c>
      <c r="G47" s="68">
        <f t="shared" si="9"/>
        <v>0</v>
      </c>
      <c r="H47" s="68">
        <f t="shared" si="9"/>
        <v>0</v>
      </c>
      <c r="I47" s="68">
        <f t="shared" si="9"/>
        <v>0</v>
      </c>
      <c r="J47" s="68">
        <f t="shared" si="9"/>
        <v>0</v>
      </c>
      <c r="K47" s="68">
        <f t="shared" si="9"/>
        <v>0</v>
      </c>
      <c r="L47" s="62">
        <f t="shared" si="3"/>
        <v>1</v>
      </c>
      <c r="M47" s="10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89"/>
    </row>
    <row r="48" spans="1:51" ht="6" customHeight="1" thickBot="1" x14ac:dyDescent="0.3">
      <c r="A48" s="48"/>
      <c r="B48" s="39"/>
      <c r="C48" s="40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89"/>
    </row>
    <row r="49" spans="1:32" x14ac:dyDescent="0.25">
      <c r="A49" s="48"/>
      <c r="B49" s="23" t="s">
        <v>278</v>
      </c>
      <c r="C49" s="63">
        <f>COUNTIFS('File Tracker'!$A$3:$A$169,"*Chapter 9 *",'File Tracker'!$D$3:$D$169,"*[0]*")</f>
        <v>4</v>
      </c>
      <c r="D49" s="63">
        <f>COUNTIFS('File Tracker'!$A$3:$A$169,"*Chapter 9 *",'File Tracker'!$D$3:$D$169,"*[1]*")</f>
        <v>0</v>
      </c>
      <c r="E49" s="65">
        <f>COUNTIFS('File Tracker'!$A$3:$A$169,"*Chapter 9 *",'File Tracker'!$D$3:$D$169,"*[2]*")</f>
        <v>0</v>
      </c>
      <c r="F49" s="65">
        <f>COUNTIFS('File Tracker'!$A$3:$A$169,"*Chapter 9 *",'File Tracker'!$D$3:$D$169,"*[3]*")</f>
        <v>0</v>
      </c>
      <c r="G49" s="67">
        <f>COUNTIFS('File Tracker'!$A$3:$A$169,"*Chapter 9 *",'File Tracker'!$D$3:$D$169,"*[4]*")</f>
        <v>0</v>
      </c>
      <c r="H49" s="67">
        <f>COUNTIFS('File Tracker'!$A$3:$A$169,"*Chapter 9 *",'File Tracker'!$D$3:$D$169,"*[5]*")</f>
        <v>0</v>
      </c>
      <c r="I49" s="67">
        <f>COUNTIFS('File Tracker'!$A$3:$A$169,"*Chapter 9 *",'File Tracker'!$D$3:$D$169,"*[6]*")</f>
        <v>0</v>
      </c>
      <c r="J49" s="67">
        <f>COUNTIFS('File Tracker'!$A$3:$A$169,"*Chapter 9 *",'File Tracker'!$D$3:$D$169,"*[7]*")</f>
        <v>0</v>
      </c>
      <c r="K49" s="67">
        <f>COUNTIFS('File Tracker'!$A$3:$A$169,"*Chapter 9 *",'File Tracker'!$D$3:$D$169,"*[8]*")</f>
        <v>0</v>
      </c>
      <c r="L49" s="61">
        <f t="shared" si="3"/>
        <v>4</v>
      </c>
      <c r="M49" s="103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89"/>
    </row>
    <row r="50" spans="1:32" ht="15.75" thickBot="1" x14ac:dyDescent="0.3">
      <c r="A50" s="48"/>
      <c r="B50" s="24">
        <f>COUNTIF('File Tracker'!$A$3:A$169,"*Chapter 9 *")</f>
        <v>4</v>
      </c>
      <c r="C50" s="64">
        <f t="shared" ref="C50:K50" si="10">C49/$B$50</f>
        <v>1</v>
      </c>
      <c r="D50" s="64">
        <f t="shared" si="10"/>
        <v>0</v>
      </c>
      <c r="E50" s="66">
        <f t="shared" si="10"/>
        <v>0</v>
      </c>
      <c r="F50" s="66">
        <f t="shared" si="10"/>
        <v>0</v>
      </c>
      <c r="G50" s="68">
        <f t="shared" si="10"/>
        <v>0</v>
      </c>
      <c r="H50" s="68">
        <f t="shared" si="10"/>
        <v>0</v>
      </c>
      <c r="I50" s="68">
        <f t="shared" si="10"/>
        <v>0</v>
      </c>
      <c r="J50" s="68">
        <f t="shared" si="10"/>
        <v>0</v>
      </c>
      <c r="K50" s="68">
        <f t="shared" si="10"/>
        <v>0</v>
      </c>
      <c r="L50" s="62">
        <f t="shared" si="3"/>
        <v>1</v>
      </c>
      <c r="M50" s="10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89"/>
    </row>
    <row r="51" spans="1:32" ht="6" customHeight="1" thickBot="1" x14ac:dyDescent="0.3">
      <c r="A51" s="48"/>
      <c r="B51" s="39"/>
      <c r="C51" s="40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89"/>
    </row>
    <row r="52" spans="1:32" ht="15" customHeight="1" x14ac:dyDescent="0.25">
      <c r="A52" s="48"/>
      <c r="B52" s="23" t="s">
        <v>297</v>
      </c>
      <c r="C52" s="63">
        <f>COUNTIFS('File Tracker'!$A$3:$A$169,"*Chapter 10*",'File Tracker'!$D$3:$D$169,"*[0]*")</f>
        <v>3</v>
      </c>
      <c r="D52" s="63">
        <f>COUNTIFS('File Tracker'!$A$3:$A$169,"*Chapter 10*",'File Tracker'!$D$3:$D$169,"*[1]*")</f>
        <v>0</v>
      </c>
      <c r="E52" s="65">
        <f>COUNTIFS('File Tracker'!$A$3:$A$169,"*Chapter 10*",'File Tracker'!$D$3:$D$169,"*[2]*")</f>
        <v>0</v>
      </c>
      <c r="F52" s="65">
        <f>COUNTIFS('File Tracker'!$A$3:$A$169,"*Chapter 10*",'File Tracker'!$D$3:$D$169,"*[3]*")</f>
        <v>0</v>
      </c>
      <c r="G52" s="67">
        <f>COUNTIFS('File Tracker'!$A$3:$A$169,"*Chapter 10*",'File Tracker'!$D$3:$D$169,"*[4]*")</f>
        <v>0</v>
      </c>
      <c r="H52" s="67">
        <f>COUNTIFS('File Tracker'!$A$3:$A$169,"*Chapter 10*",'File Tracker'!$D$3:$D$169,"*[5]*")</f>
        <v>0</v>
      </c>
      <c r="I52" s="67">
        <f>COUNTIFS('File Tracker'!$A$3:$A$169,"*Chapter 10*",'File Tracker'!$D$3:$D$169,"*[6]*")</f>
        <v>0</v>
      </c>
      <c r="J52" s="67">
        <f>COUNTIFS('File Tracker'!$A$3:$A$169,"*Chapter 10*",'File Tracker'!$D$3:$D$169,"*[7]*")</f>
        <v>0</v>
      </c>
      <c r="K52" s="67">
        <f>COUNTIFS('File Tracker'!$A$3:$A$169,"*Chapter 10*",'File Tracker'!$D$3:$D$169,"*[8]*")</f>
        <v>0</v>
      </c>
      <c r="L52" s="61">
        <f t="shared" si="3"/>
        <v>3</v>
      </c>
      <c r="M52" s="103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89"/>
    </row>
    <row r="53" spans="1:32" ht="15.75" thickBot="1" x14ac:dyDescent="0.3">
      <c r="A53" s="48"/>
      <c r="B53" s="24">
        <f>COUNTIF('File Tracker'!$A$3:A$169,"*Chapter 10 *")</f>
        <v>3</v>
      </c>
      <c r="C53" s="64">
        <f t="shared" ref="C53:K53" si="11">C52/$B$53</f>
        <v>1</v>
      </c>
      <c r="D53" s="64">
        <f t="shared" si="11"/>
        <v>0</v>
      </c>
      <c r="E53" s="66">
        <f t="shared" si="11"/>
        <v>0</v>
      </c>
      <c r="F53" s="66">
        <f t="shared" si="11"/>
        <v>0</v>
      </c>
      <c r="G53" s="68">
        <f t="shared" si="11"/>
        <v>0</v>
      </c>
      <c r="H53" s="68">
        <f t="shared" si="11"/>
        <v>0</v>
      </c>
      <c r="I53" s="68">
        <f t="shared" si="11"/>
        <v>0</v>
      </c>
      <c r="J53" s="68">
        <f t="shared" si="11"/>
        <v>0</v>
      </c>
      <c r="K53" s="68">
        <f t="shared" si="11"/>
        <v>0</v>
      </c>
      <c r="L53" s="62">
        <f t="shared" si="3"/>
        <v>1</v>
      </c>
      <c r="M53" s="10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89"/>
    </row>
    <row r="54" spans="1:32" ht="6" customHeight="1" thickBot="1" x14ac:dyDescent="0.3">
      <c r="A54" s="48"/>
      <c r="B54" s="39"/>
      <c r="C54" s="40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89"/>
    </row>
    <row r="55" spans="1:32" ht="15" customHeight="1" x14ac:dyDescent="0.25">
      <c r="A55" s="48"/>
      <c r="B55" s="23" t="s">
        <v>298</v>
      </c>
      <c r="C55" s="63">
        <f>COUNTIFS('File Tracker'!$A$3:$A$169,"*Chapter 11*",'File Tracker'!$D$3:$D$169,"*[0]*")</f>
        <v>4</v>
      </c>
      <c r="D55" s="63">
        <f>COUNTIFS('File Tracker'!$A$3:$A$169,"*Chapter 11*",'File Tracker'!$D$3:$D$169,"*[1]*")</f>
        <v>0</v>
      </c>
      <c r="E55" s="65">
        <f>COUNTIFS('File Tracker'!$A$3:$A$169,"*Chapter 11*",'File Tracker'!$D$3:$D$169,"*[2]*")</f>
        <v>0</v>
      </c>
      <c r="F55" s="65">
        <f>COUNTIFS('File Tracker'!$A$3:$A$169,"*Chapter 11*",'File Tracker'!$D$3:$D$169,"*[3]*")</f>
        <v>0</v>
      </c>
      <c r="G55" s="67">
        <f>COUNTIFS('File Tracker'!$A$3:$A$169,"*Chapter 11*",'File Tracker'!$D$3:$D$169,"*[4]*")</f>
        <v>0</v>
      </c>
      <c r="H55" s="67">
        <f>COUNTIFS('File Tracker'!$A$3:$A$169,"*Chapter 11*",'File Tracker'!$D$3:$D$169,"*[5]*")</f>
        <v>0</v>
      </c>
      <c r="I55" s="67">
        <f>COUNTIFS('File Tracker'!$A$3:$A$169,"*Chapter 11*",'File Tracker'!$D$3:$D$169,"*[6]*")</f>
        <v>0</v>
      </c>
      <c r="J55" s="67">
        <f>COUNTIFS('File Tracker'!$A$3:$A$169,"*Chapter 11*",'File Tracker'!$D$3:$D$169,"*[7]*")</f>
        <v>0</v>
      </c>
      <c r="K55" s="67">
        <f>COUNTIFS('File Tracker'!$A$3:$A$169,"*Chapter 11*",'File Tracker'!$D$3:$D$169,"*[8]*")</f>
        <v>0</v>
      </c>
      <c r="L55" s="61">
        <f t="shared" si="3"/>
        <v>4</v>
      </c>
      <c r="M55" s="103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89"/>
    </row>
    <row r="56" spans="1:32" ht="15.75" thickBot="1" x14ac:dyDescent="0.3">
      <c r="A56" s="48"/>
      <c r="B56" s="24">
        <f>COUNTIF('File Tracker'!$A$3:A$169,"*Chapter 11 *")</f>
        <v>4</v>
      </c>
      <c r="C56" s="64">
        <f t="shared" ref="C56:K56" si="12">C55/$B$56</f>
        <v>1</v>
      </c>
      <c r="D56" s="64">
        <f t="shared" si="12"/>
        <v>0</v>
      </c>
      <c r="E56" s="66">
        <f t="shared" si="12"/>
        <v>0</v>
      </c>
      <c r="F56" s="66">
        <f t="shared" si="12"/>
        <v>0</v>
      </c>
      <c r="G56" s="68">
        <f t="shared" si="12"/>
        <v>0</v>
      </c>
      <c r="H56" s="68">
        <f t="shared" si="12"/>
        <v>0</v>
      </c>
      <c r="I56" s="68">
        <f t="shared" si="12"/>
        <v>0</v>
      </c>
      <c r="J56" s="68">
        <f t="shared" si="12"/>
        <v>0</v>
      </c>
      <c r="K56" s="68">
        <f t="shared" si="12"/>
        <v>0</v>
      </c>
      <c r="L56" s="62">
        <f t="shared" si="3"/>
        <v>1</v>
      </c>
      <c r="M56" s="10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89"/>
    </row>
    <row r="57" spans="1:32" ht="6" customHeight="1" thickBot="1" x14ac:dyDescent="0.3">
      <c r="A57" s="48"/>
      <c r="B57" s="39"/>
      <c r="C57" s="40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89"/>
    </row>
    <row r="58" spans="1:32" ht="15" customHeight="1" x14ac:dyDescent="0.25">
      <c r="A58" s="48"/>
      <c r="B58" s="23" t="s">
        <v>299</v>
      </c>
      <c r="C58" s="63">
        <f>COUNTIFS('File Tracker'!$A$3:$A$169,"*Chapter 12*",'File Tracker'!$D$3:$D$169,"*[0]*")</f>
        <v>7</v>
      </c>
      <c r="D58" s="63">
        <f>COUNTIFS('File Tracker'!$A$3:$A$169,"*Chapter 12*",'File Tracker'!$D$3:$D$169,"*[1]*")</f>
        <v>0</v>
      </c>
      <c r="E58" s="65">
        <f>COUNTIFS('File Tracker'!$A$3:$A$169,"*Chapter 12*",'File Tracker'!$D$3:$D$169,"*[2]*")</f>
        <v>0</v>
      </c>
      <c r="F58" s="65">
        <f>COUNTIFS('File Tracker'!$A$3:$A$169,"*Chapter 12*",'File Tracker'!$D$3:$D$169,"*[3]*")</f>
        <v>0</v>
      </c>
      <c r="G58" s="67">
        <f>COUNTIFS('File Tracker'!$A$3:$A$169,"*Chapter 12*",'File Tracker'!$D$3:$D$169,"*[4]*")</f>
        <v>0</v>
      </c>
      <c r="H58" s="67">
        <f>COUNTIFS('File Tracker'!$A$3:$A$169,"*Chapter 12*",'File Tracker'!$D$3:$D$169,"*[5]*")</f>
        <v>0</v>
      </c>
      <c r="I58" s="67">
        <f>COUNTIFS('File Tracker'!$A$3:$A$169,"*Chapter 12*",'File Tracker'!$D$3:$D$169,"*[6]*")</f>
        <v>0</v>
      </c>
      <c r="J58" s="67">
        <f>COUNTIFS('File Tracker'!$A$3:$A$169,"*Chapter 12*",'File Tracker'!$D$3:$D$169,"*[7]*")</f>
        <v>0</v>
      </c>
      <c r="K58" s="67">
        <f>COUNTIFS('File Tracker'!$A$3:$A$169,"*Chapter 12*",'File Tracker'!$D$3:$D$169,"*[8]*")</f>
        <v>0</v>
      </c>
      <c r="L58" s="61">
        <f t="shared" si="3"/>
        <v>7</v>
      </c>
      <c r="M58" s="103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89"/>
    </row>
    <row r="59" spans="1:32" ht="15.75" thickBot="1" x14ac:dyDescent="0.3">
      <c r="A59" s="48"/>
      <c r="B59" s="24">
        <f>COUNTIF('File Tracker'!$A$3:A$169,"*Chapter 12 *")</f>
        <v>7</v>
      </c>
      <c r="C59" s="64">
        <f t="shared" ref="C59:K59" si="13">C58/$B$59</f>
        <v>1</v>
      </c>
      <c r="D59" s="64">
        <f t="shared" si="13"/>
        <v>0</v>
      </c>
      <c r="E59" s="66">
        <f t="shared" si="13"/>
        <v>0</v>
      </c>
      <c r="F59" s="66">
        <f t="shared" si="13"/>
        <v>0</v>
      </c>
      <c r="G59" s="68">
        <f t="shared" si="13"/>
        <v>0</v>
      </c>
      <c r="H59" s="68">
        <f t="shared" si="13"/>
        <v>0</v>
      </c>
      <c r="I59" s="68">
        <f t="shared" si="13"/>
        <v>0</v>
      </c>
      <c r="J59" s="68">
        <f t="shared" si="13"/>
        <v>0</v>
      </c>
      <c r="K59" s="68">
        <f t="shared" si="13"/>
        <v>0</v>
      </c>
      <c r="L59" s="62">
        <f t="shared" si="3"/>
        <v>1</v>
      </c>
      <c r="M59" s="10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89"/>
    </row>
    <row r="60" spans="1:32" ht="6" customHeight="1" thickBot="1" x14ac:dyDescent="0.3">
      <c r="A60" s="48"/>
      <c r="B60" s="39"/>
      <c r="C60" s="4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89"/>
    </row>
    <row r="61" spans="1:32" ht="15" customHeight="1" x14ac:dyDescent="0.25">
      <c r="A61" s="48"/>
      <c r="B61" s="23" t="s">
        <v>300</v>
      </c>
      <c r="C61" s="63">
        <f>COUNTIFS('File Tracker'!$A$3:$A$169,"*Chapter 13*",'File Tracker'!$D$3:$D$169,"*[0]*")</f>
        <v>2</v>
      </c>
      <c r="D61" s="63">
        <f>COUNTIFS('File Tracker'!$A$3:$A$169,"*Chapter 13*",'File Tracker'!$D$3:$D$169,"*[1]*")</f>
        <v>0</v>
      </c>
      <c r="E61" s="65">
        <f>COUNTIFS('File Tracker'!$A$3:$A$169,"*Chapter 13*",'File Tracker'!$D$3:$D$169,"*[2]*")</f>
        <v>0</v>
      </c>
      <c r="F61" s="65">
        <f>COUNTIFS('File Tracker'!$A$3:$A$169,"*Chapter 13*",'File Tracker'!$D$3:$D$169,"*[3]*")</f>
        <v>0</v>
      </c>
      <c r="G61" s="67">
        <f>COUNTIFS('File Tracker'!$A$3:$A$169,"*Chapter 13*",'File Tracker'!$D$3:$D$169,"*[4]*")</f>
        <v>0</v>
      </c>
      <c r="H61" s="67">
        <f>COUNTIFS('File Tracker'!$A$3:$A$169,"*Chapter 13*",'File Tracker'!$D$3:$D$169,"*[5]*")</f>
        <v>0</v>
      </c>
      <c r="I61" s="67">
        <f>COUNTIFS('File Tracker'!$A$3:$A$169,"*Chapter 13*",'File Tracker'!$D$3:$D$169,"*[6]*")</f>
        <v>0</v>
      </c>
      <c r="J61" s="67">
        <f>COUNTIFS('File Tracker'!$A$3:$A$169,"*Chapter 13*",'File Tracker'!$D$3:$D$169,"*[7]*")</f>
        <v>0</v>
      </c>
      <c r="K61" s="67">
        <f>COUNTIFS('File Tracker'!$A$3:$A$169,"*Chapter 13*",'File Tracker'!$D$3:$D$169,"*[8]*")</f>
        <v>0</v>
      </c>
      <c r="L61" s="61">
        <f t="shared" si="3"/>
        <v>2</v>
      </c>
      <c r="M61" s="103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89"/>
    </row>
    <row r="62" spans="1:32" ht="15.75" thickBot="1" x14ac:dyDescent="0.3">
      <c r="A62" s="48"/>
      <c r="B62" s="24">
        <f>COUNTIF('File Tracker'!$A$3:A$169,"*Chapter 13 *")</f>
        <v>2</v>
      </c>
      <c r="C62" s="64">
        <f t="shared" ref="C62:K62" si="14">C61/$B$62</f>
        <v>1</v>
      </c>
      <c r="D62" s="64">
        <f t="shared" si="14"/>
        <v>0</v>
      </c>
      <c r="E62" s="66">
        <f t="shared" si="14"/>
        <v>0</v>
      </c>
      <c r="F62" s="66">
        <f t="shared" si="14"/>
        <v>0</v>
      </c>
      <c r="G62" s="68">
        <f t="shared" si="14"/>
        <v>0</v>
      </c>
      <c r="H62" s="68">
        <f t="shared" si="14"/>
        <v>0</v>
      </c>
      <c r="I62" s="68">
        <f t="shared" si="14"/>
        <v>0</v>
      </c>
      <c r="J62" s="68">
        <f t="shared" si="14"/>
        <v>0</v>
      </c>
      <c r="K62" s="68">
        <f t="shared" si="14"/>
        <v>0</v>
      </c>
      <c r="L62" s="62">
        <f t="shared" si="3"/>
        <v>1</v>
      </c>
      <c r="M62" s="10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89"/>
    </row>
    <row r="63" spans="1:32" ht="6" customHeight="1" thickBot="1" x14ac:dyDescent="0.3">
      <c r="A63" s="48"/>
      <c r="B63" s="39"/>
      <c r="C63" s="40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89"/>
    </row>
    <row r="64" spans="1:32" ht="15" customHeight="1" x14ac:dyDescent="0.25">
      <c r="A64" s="48"/>
      <c r="B64" s="23" t="s">
        <v>301</v>
      </c>
      <c r="C64" s="63">
        <f>COUNTIFS('File Tracker'!$A$3:$A$169,"*Chapter 14*",'File Tracker'!$D$3:$D$169,"*[0]*")</f>
        <v>4</v>
      </c>
      <c r="D64" s="63">
        <f>COUNTIFS('File Tracker'!$A$3:$A$169,"*Chapter 14*",'File Tracker'!$D$3:$D$169,"*[1]*")</f>
        <v>0</v>
      </c>
      <c r="E64" s="65">
        <f>COUNTIFS('File Tracker'!$A$3:$A$169,"*Chapter 14*",'File Tracker'!$D$3:$D$169,"*[2]*")</f>
        <v>0</v>
      </c>
      <c r="F64" s="65">
        <f>COUNTIFS('File Tracker'!$A$3:$A$169,"*Chapter 14*",'File Tracker'!$D$3:$D$169,"*[3]*")</f>
        <v>0</v>
      </c>
      <c r="G64" s="67">
        <f>COUNTIFS('File Tracker'!$A$3:$A$169,"*Chapter 14*",'File Tracker'!$D$3:$D$169,"*[4]*")</f>
        <v>0</v>
      </c>
      <c r="H64" s="67">
        <f>COUNTIFS('File Tracker'!$A$3:$A$169,"*Chapter 14*",'File Tracker'!$D$3:$D$169,"*[5]*")</f>
        <v>0</v>
      </c>
      <c r="I64" s="67">
        <f>COUNTIFS('File Tracker'!$A$3:$A$169,"*Chapter 14*",'File Tracker'!$D$3:$D$169,"*[6]*")</f>
        <v>0</v>
      </c>
      <c r="J64" s="67">
        <f>COUNTIFS('File Tracker'!$A$3:$A$169,"*Chapter 14*",'File Tracker'!$D$3:$D$169,"*[7]*")</f>
        <v>0</v>
      </c>
      <c r="K64" s="67">
        <f>COUNTIFS('File Tracker'!$A$3:$A$169,"*Chapter 14*",'File Tracker'!$D$3:$D$169,"*[8]*")</f>
        <v>0</v>
      </c>
      <c r="L64" s="61">
        <f t="shared" si="3"/>
        <v>4</v>
      </c>
      <c r="M64" s="103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89"/>
    </row>
    <row r="65" spans="1:32" ht="15.75" thickBot="1" x14ac:dyDescent="0.3">
      <c r="A65" s="48"/>
      <c r="B65" s="24">
        <f>COUNTIF('File Tracker'!$A$3:A$169,"*Chapter 14 *")</f>
        <v>4</v>
      </c>
      <c r="C65" s="64">
        <f t="shared" ref="C65:K65" si="15">C64/$B$65</f>
        <v>1</v>
      </c>
      <c r="D65" s="64">
        <f t="shared" si="15"/>
        <v>0</v>
      </c>
      <c r="E65" s="66">
        <f t="shared" si="15"/>
        <v>0</v>
      </c>
      <c r="F65" s="66">
        <f t="shared" si="15"/>
        <v>0</v>
      </c>
      <c r="G65" s="68">
        <f t="shared" si="15"/>
        <v>0</v>
      </c>
      <c r="H65" s="68">
        <f t="shared" si="15"/>
        <v>0</v>
      </c>
      <c r="I65" s="68">
        <f t="shared" si="15"/>
        <v>0</v>
      </c>
      <c r="J65" s="68">
        <f t="shared" si="15"/>
        <v>0</v>
      </c>
      <c r="K65" s="68">
        <f t="shared" si="15"/>
        <v>0</v>
      </c>
      <c r="L65" s="62">
        <f t="shared" si="3"/>
        <v>1</v>
      </c>
      <c r="M65" s="10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89"/>
    </row>
    <row r="66" spans="1:32" ht="6" customHeight="1" thickBot="1" x14ac:dyDescent="0.3">
      <c r="A66" s="48"/>
      <c r="B66" s="39"/>
      <c r="C66" s="40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89"/>
    </row>
    <row r="67" spans="1:32" ht="15" customHeight="1" x14ac:dyDescent="0.25">
      <c r="A67" s="48"/>
      <c r="B67" s="23" t="s">
        <v>302</v>
      </c>
      <c r="C67" s="63">
        <f>COUNTIFS('File Tracker'!$A$3:$A$169,"*Chapter 15*",'File Tracker'!$D$3:$D$169,"*[0]*")</f>
        <v>21</v>
      </c>
      <c r="D67" s="63">
        <f>COUNTIFS('File Tracker'!$A$3:$A$169,"*Chapter 15*",'File Tracker'!$D$3:$D$169,"*[1]*")</f>
        <v>0</v>
      </c>
      <c r="E67" s="65">
        <f>COUNTIFS('File Tracker'!$A$3:$A$169,"*Chapter 15*",'File Tracker'!$D$3:$D$169,"*[2]*")</f>
        <v>0</v>
      </c>
      <c r="F67" s="65">
        <f>COUNTIFS('File Tracker'!$A$3:$A$169,"*Chapter 15*",'File Tracker'!$D$3:$D$169,"*[3]*")</f>
        <v>0</v>
      </c>
      <c r="G67" s="67">
        <f>COUNTIFS('File Tracker'!$A$3:$A$169,"*Chapter 15*",'File Tracker'!$D$3:$D$169,"*[4]*")</f>
        <v>0</v>
      </c>
      <c r="H67" s="67">
        <f>COUNTIFS('File Tracker'!$A$3:$A$169,"*Chapter 15*",'File Tracker'!$D$3:$D$169,"*[5]*")</f>
        <v>0</v>
      </c>
      <c r="I67" s="67">
        <f>COUNTIFS('File Tracker'!$A$3:$A$169,"*Chapter 15*",'File Tracker'!$D$3:$D$169,"*[6]*")</f>
        <v>0</v>
      </c>
      <c r="J67" s="67">
        <f>COUNTIFS('File Tracker'!$A$3:$A$169,"*Chapter 15*",'File Tracker'!$D$3:$D$169,"*[7]*")</f>
        <v>0</v>
      </c>
      <c r="K67" s="67">
        <f>COUNTIFS('File Tracker'!$A$3:$A$169,"*Chapter 15*",'File Tracker'!$D$3:$D$169,"*[8]*")</f>
        <v>0</v>
      </c>
      <c r="L67" s="61">
        <f t="shared" si="3"/>
        <v>21</v>
      </c>
      <c r="M67" s="103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89"/>
    </row>
    <row r="68" spans="1:32" ht="15.75" thickBot="1" x14ac:dyDescent="0.3">
      <c r="A68" s="48"/>
      <c r="B68" s="24">
        <f>COUNTIF('File Tracker'!$A$3:A$169,"*Chapter 15 *")</f>
        <v>21</v>
      </c>
      <c r="C68" s="64">
        <f t="shared" ref="C68:K68" si="16">C67/$B$68</f>
        <v>1</v>
      </c>
      <c r="D68" s="64">
        <f t="shared" si="16"/>
        <v>0</v>
      </c>
      <c r="E68" s="66">
        <f t="shared" si="16"/>
        <v>0</v>
      </c>
      <c r="F68" s="66">
        <f t="shared" si="16"/>
        <v>0</v>
      </c>
      <c r="G68" s="68">
        <f t="shared" si="16"/>
        <v>0</v>
      </c>
      <c r="H68" s="68">
        <f t="shared" si="16"/>
        <v>0</v>
      </c>
      <c r="I68" s="68">
        <f t="shared" si="16"/>
        <v>0</v>
      </c>
      <c r="J68" s="68">
        <f t="shared" si="16"/>
        <v>0</v>
      </c>
      <c r="K68" s="68">
        <f t="shared" si="16"/>
        <v>0</v>
      </c>
      <c r="L68" s="62">
        <f t="shared" si="3"/>
        <v>1</v>
      </c>
      <c r="M68" s="10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89"/>
    </row>
    <row r="69" spans="1:32" ht="6" customHeight="1" thickBot="1" x14ac:dyDescent="0.3">
      <c r="A69" s="48"/>
      <c r="B69" s="39"/>
      <c r="C69" s="40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89"/>
    </row>
    <row r="70" spans="1:32" ht="15" customHeight="1" x14ac:dyDescent="0.25">
      <c r="A70" s="48"/>
      <c r="B70" s="23" t="s">
        <v>303</v>
      </c>
      <c r="C70" s="63">
        <f>COUNTIFS('File Tracker'!$A$3:$A$169,"*Chapter 16*",'File Tracker'!$D$3:$D$169,"*[0]*")</f>
        <v>3</v>
      </c>
      <c r="D70" s="63">
        <f>COUNTIFS('File Tracker'!$A$3:$A$169,"*Chapter 16*",'File Tracker'!$D$3:$D$169,"*[1]*")</f>
        <v>0</v>
      </c>
      <c r="E70" s="65">
        <f>COUNTIFS('File Tracker'!$A$3:$A$169,"*Chapter 16*",'File Tracker'!$D$3:$D$169,"*[2]*")</f>
        <v>0</v>
      </c>
      <c r="F70" s="65">
        <f>COUNTIFS('File Tracker'!$A$3:$A$169,"*Chapter 16*",'File Tracker'!$D$3:$D$169,"*[3]*")</f>
        <v>0</v>
      </c>
      <c r="G70" s="67">
        <f>COUNTIFS('File Tracker'!$A$3:$A$169,"*Chapter 16*",'File Tracker'!$D$3:$D$169,"*[4]*")</f>
        <v>0</v>
      </c>
      <c r="H70" s="67">
        <f>COUNTIFS('File Tracker'!$A$3:$A$169,"*Chapter 16*",'File Tracker'!$D$3:$D$169,"*[5]*")</f>
        <v>0</v>
      </c>
      <c r="I70" s="67">
        <f>COUNTIFS('File Tracker'!$A$3:$A$169,"*Chapter 16*",'File Tracker'!$D$3:$D$169,"*[6]*")</f>
        <v>0</v>
      </c>
      <c r="J70" s="67">
        <f>COUNTIFS('File Tracker'!$A$3:$A$169,"*Chapter 16*",'File Tracker'!$D$3:$D$169,"*[7]*")</f>
        <v>0</v>
      </c>
      <c r="K70" s="67">
        <f>COUNTIFS('File Tracker'!$A$3:$A$169,"*Chapter 16*",'File Tracker'!$D$3:$D$169,"*[8]*")</f>
        <v>0</v>
      </c>
      <c r="L70" s="61">
        <f t="shared" si="3"/>
        <v>3</v>
      </c>
      <c r="M70" s="103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89"/>
    </row>
    <row r="71" spans="1:32" ht="15.75" thickBot="1" x14ac:dyDescent="0.3">
      <c r="A71" s="48"/>
      <c r="B71" s="24">
        <f>COUNTIF('File Tracker'!$A$3:A$169,"*Chapter 16 *")</f>
        <v>3</v>
      </c>
      <c r="C71" s="64">
        <f t="shared" ref="C71:K71" si="17">C70/$B$71</f>
        <v>1</v>
      </c>
      <c r="D71" s="64">
        <f t="shared" si="17"/>
        <v>0</v>
      </c>
      <c r="E71" s="66">
        <f t="shared" si="17"/>
        <v>0</v>
      </c>
      <c r="F71" s="66">
        <f t="shared" si="17"/>
        <v>0</v>
      </c>
      <c r="G71" s="68">
        <f t="shared" si="17"/>
        <v>0</v>
      </c>
      <c r="H71" s="68">
        <f t="shared" si="17"/>
        <v>0</v>
      </c>
      <c r="I71" s="68">
        <f t="shared" si="17"/>
        <v>0</v>
      </c>
      <c r="J71" s="68">
        <f t="shared" si="17"/>
        <v>0</v>
      </c>
      <c r="K71" s="68">
        <f t="shared" si="17"/>
        <v>0</v>
      </c>
      <c r="L71" s="62">
        <f t="shared" si="3"/>
        <v>1</v>
      </c>
      <c r="M71" s="105"/>
      <c r="N71" s="91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89"/>
    </row>
    <row r="72" spans="1:32" ht="6" customHeight="1" thickBot="1" x14ac:dyDescent="0.3">
      <c r="A72" s="48"/>
      <c r="B72" s="39"/>
      <c r="C72" s="40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91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89"/>
    </row>
    <row r="73" spans="1:32" ht="15" customHeight="1" x14ac:dyDescent="0.25">
      <c r="A73" s="48"/>
      <c r="B73" s="23" t="s">
        <v>304</v>
      </c>
      <c r="C73" s="63">
        <f>COUNTIFS('File Tracker'!$A$3:$A$169,"*Chapter 17*",'File Tracker'!$D$3:$D$169,"*[0]*")</f>
        <v>3</v>
      </c>
      <c r="D73" s="63">
        <f>COUNTIFS('File Tracker'!$A$3:$A$169,"*Chapter 17*",'File Tracker'!$D$3:$D$169,"*[1]*")</f>
        <v>0</v>
      </c>
      <c r="E73" s="65">
        <f>COUNTIFS('File Tracker'!$A$3:$A$169,"*Chapter 17*",'File Tracker'!$D$3:$D$169,"*[2]*")</f>
        <v>0</v>
      </c>
      <c r="F73" s="65">
        <f>COUNTIFS('File Tracker'!$A$3:$A$169,"*Chapter 17*",'File Tracker'!$D$3:$D$169,"*[3]*")</f>
        <v>0</v>
      </c>
      <c r="G73" s="67">
        <f>COUNTIFS('File Tracker'!$A$3:$A$169,"*Chapter 17*",'File Tracker'!$D$3:$D$169,"*[4]*")</f>
        <v>0</v>
      </c>
      <c r="H73" s="67">
        <f>COUNTIFS('File Tracker'!$A$3:$A$169,"*Chapter 17*",'File Tracker'!$D$3:$D$169,"*[5]*")</f>
        <v>0</v>
      </c>
      <c r="I73" s="67">
        <f>COUNTIFS('File Tracker'!$A$3:$A$169,"*Chapter 17*",'File Tracker'!$D$3:$D$169,"*[6]*")</f>
        <v>0</v>
      </c>
      <c r="J73" s="67">
        <f>COUNTIFS('File Tracker'!$A$3:$A$169,"*Chapter 17*",'File Tracker'!$D$3:$D$169,"*[7]*")</f>
        <v>0</v>
      </c>
      <c r="K73" s="67">
        <f>COUNTIFS('File Tracker'!$A$3:$A$169,"*Chapter 17*",'File Tracker'!$D$3:$D$169,"*[8]*")</f>
        <v>0</v>
      </c>
      <c r="L73" s="61">
        <f t="shared" si="3"/>
        <v>3</v>
      </c>
      <c r="M73" s="103"/>
      <c r="N73" s="91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89"/>
    </row>
    <row r="74" spans="1:32" ht="15.75" thickBot="1" x14ac:dyDescent="0.3">
      <c r="A74" s="48"/>
      <c r="B74" s="24">
        <f>COUNTIF('File Tracker'!$A$3:A$169,"*Chapter 17 *")</f>
        <v>3</v>
      </c>
      <c r="C74" s="64">
        <f t="shared" ref="C74:K74" si="18">C73/$B$74</f>
        <v>1</v>
      </c>
      <c r="D74" s="64">
        <f t="shared" si="18"/>
        <v>0</v>
      </c>
      <c r="E74" s="66">
        <f t="shared" si="18"/>
        <v>0</v>
      </c>
      <c r="F74" s="66">
        <f t="shared" si="18"/>
        <v>0</v>
      </c>
      <c r="G74" s="68">
        <f t="shared" si="18"/>
        <v>0</v>
      </c>
      <c r="H74" s="68">
        <f t="shared" si="18"/>
        <v>0</v>
      </c>
      <c r="I74" s="68">
        <f t="shared" si="18"/>
        <v>0</v>
      </c>
      <c r="J74" s="68">
        <f t="shared" si="18"/>
        <v>0</v>
      </c>
      <c r="K74" s="68">
        <f t="shared" si="18"/>
        <v>0</v>
      </c>
      <c r="L74" s="62">
        <f t="shared" si="3"/>
        <v>1</v>
      </c>
      <c r="M74" s="105"/>
      <c r="N74" s="91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89"/>
    </row>
    <row r="75" spans="1:32" ht="6" customHeight="1" thickBot="1" x14ac:dyDescent="0.3">
      <c r="A75" s="48"/>
      <c r="B75" s="39"/>
      <c r="C75" s="40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91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89"/>
    </row>
    <row r="76" spans="1:32" ht="15" customHeight="1" x14ac:dyDescent="0.25">
      <c r="A76" s="48"/>
      <c r="B76" s="23" t="s">
        <v>305</v>
      </c>
      <c r="C76" s="63">
        <f>COUNTIFS('File Tracker'!$A$3:$A$169,"*Chapter 18*",'File Tracker'!$D$3:$D$169,"*[0]*")</f>
        <v>7</v>
      </c>
      <c r="D76" s="63">
        <f>COUNTIFS('File Tracker'!$A$3:$A$169,"*Chapter 18*",'File Tracker'!$D$3:$D$169,"*[1]*")</f>
        <v>0</v>
      </c>
      <c r="E76" s="65">
        <f>COUNTIFS('File Tracker'!$A$3:$A$169,"*Chapter 18*",'File Tracker'!$D$3:$D$169,"*[2]*")</f>
        <v>0</v>
      </c>
      <c r="F76" s="65">
        <f>COUNTIFS('File Tracker'!$A$3:$A$169,"*Chapter 18*",'File Tracker'!$D$3:$D$169,"*[3]*")</f>
        <v>0</v>
      </c>
      <c r="G76" s="67">
        <f>COUNTIFS('File Tracker'!$A$3:$A$169,"*Chapter 18*",'File Tracker'!$D$3:$D$169,"*[4]*")</f>
        <v>0</v>
      </c>
      <c r="H76" s="67">
        <f>COUNTIFS('File Tracker'!$A$3:$A$169,"*Chapter 18*",'File Tracker'!$D$3:$D$169,"*[5]*")</f>
        <v>0</v>
      </c>
      <c r="I76" s="67">
        <f>COUNTIFS('File Tracker'!$A$3:$A$169,"*Chapter 18*",'File Tracker'!$D$3:$D$169,"*[6]*")</f>
        <v>0</v>
      </c>
      <c r="J76" s="67">
        <f>COUNTIFS('File Tracker'!$A$3:$A$169,"*Chapter 18*",'File Tracker'!$D$3:$D$169,"*[7]*")</f>
        <v>0</v>
      </c>
      <c r="K76" s="67">
        <f>COUNTIFS('File Tracker'!$A$3:$A$169,"*Chapter 18*",'File Tracker'!$D$3:$D$169,"*[8]*")</f>
        <v>0</v>
      </c>
      <c r="L76" s="61">
        <f t="shared" si="3"/>
        <v>7</v>
      </c>
      <c r="M76" s="103"/>
      <c r="N76" s="91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89"/>
    </row>
    <row r="77" spans="1:32" ht="15.75" thickBot="1" x14ac:dyDescent="0.3">
      <c r="A77" s="48"/>
      <c r="B77" s="24">
        <f>COUNTIF('File Tracker'!$A$3:A$169,"*Chapter 18 *")</f>
        <v>7</v>
      </c>
      <c r="C77" s="64">
        <f t="shared" ref="C77:K77" si="19">C76/$B$77</f>
        <v>1</v>
      </c>
      <c r="D77" s="64">
        <f t="shared" si="19"/>
        <v>0</v>
      </c>
      <c r="E77" s="66">
        <f t="shared" si="19"/>
        <v>0</v>
      </c>
      <c r="F77" s="66">
        <f t="shared" si="19"/>
        <v>0</v>
      </c>
      <c r="G77" s="68">
        <f t="shared" si="19"/>
        <v>0</v>
      </c>
      <c r="H77" s="68">
        <f t="shared" si="19"/>
        <v>0</v>
      </c>
      <c r="I77" s="68">
        <f t="shared" si="19"/>
        <v>0</v>
      </c>
      <c r="J77" s="68">
        <f t="shared" si="19"/>
        <v>0</v>
      </c>
      <c r="K77" s="68">
        <f t="shared" si="19"/>
        <v>0</v>
      </c>
      <c r="L77" s="62">
        <f t="shared" si="3"/>
        <v>1</v>
      </c>
      <c r="M77" s="105"/>
      <c r="N77" s="91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89"/>
    </row>
    <row r="78" spans="1:32" ht="6" customHeight="1" thickBot="1" x14ac:dyDescent="0.3">
      <c r="A78" s="48"/>
      <c r="B78" s="39"/>
      <c r="C78" s="40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91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89"/>
    </row>
    <row r="79" spans="1:32" ht="15" customHeight="1" x14ac:dyDescent="0.25">
      <c r="A79" s="48"/>
      <c r="B79" s="23" t="s">
        <v>306</v>
      </c>
      <c r="C79" s="63">
        <f>COUNTIFS('File Tracker'!$A$3:$A$169,"*Chapter 19*",'File Tracker'!$D$3:$D$169,"*[0]*")</f>
        <v>5</v>
      </c>
      <c r="D79" s="63">
        <f>COUNTIFS('File Tracker'!$A$3:$A$169,"*Chapter 19*",'File Tracker'!$D$3:$D$169,"*[1]*")</f>
        <v>0</v>
      </c>
      <c r="E79" s="65">
        <f>COUNTIFS('File Tracker'!$A$3:$A$169,"*Chapter 19*",'File Tracker'!$D$3:$D$169,"*[2]*")</f>
        <v>0</v>
      </c>
      <c r="F79" s="65">
        <f>COUNTIFS('File Tracker'!$A$3:$A$169,"*Chapter 19*",'File Tracker'!$D$3:$D$169,"*[3]*")</f>
        <v>0</v>
      </c>
      <c r="G79" s="67">
        <f>COUNTIFS('File Tracker'!$A$3:$A$169,"*Chapter 19*",'File Tracker'!$D$3:$D$169,"*[4]*")</f>
        <v>0</v>
      </c>
      <c r="H79" s="67">
        <f>COUNTIFS('File Tracker'!$A$3:$A$169,"*Chapter 19*",'File Tracker'!$D$3:$D$169,"*[5]*")</f>
        <v>0</v>
      </c>
      <c r="I79" s="67">
        <f>COUNTIFS('File Tracker'!$A$3:$A$169,"*Chapter 19*",'File Tracker'!$D$3:$D$169,"*[6]*")</f>
        <v>0</v>
      </c>
      <c r="J79" s="67">
        <f>COUNTIFS('File Tracker'!$A$3:$A$169,"*Chapter 19*",'File Tracker'!$D$3:$D$169,"*[7]*")</f>
        <v>0</v>
      </c>
      <c r="K79" s="67">
        <f>COUNTIFS('File Tracker'!$A$3:$A$169,"*Chapter 19*",'File Tracker'!$D$3:$D$169,"*[8]*")</f>
        <v>0</v>
      </c>
      <c r="L79" s="61">
        <f t="shared" si="3"/>
        <v>5</v>
      </c>
      <c r="M79" s="103"/>
      <c r="N79" s="91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89"/>
    </row>
    <row r="80" spans="1:32" ht="15.75" thickBot="1" x14ac:dyDescent="0.3">
      <c r="A80" s="48"/>
      <c r="B80" s="24">
        <f>COUNTIF('File Tracker'!$A$3:A$169,"*Chapter 19 *")</f>
        <v>5</v>
      </c>
      <c r="C80" s="64">
        <f t="shared" ref="C80:K80" si="20">C79/$B$80</f>
        <v>1</v>
      </c>
      <c r="D80" s="64">
        <f t="shared" si="20"/>
        <v>0</v>
      </c>
      <c r="E80" s="66">
        <f t="shared" si="20"/>
        <v>0</v>
      </c>
      <c r="F80" s="66">
        <f t="shared" si="20"/>
        <v>0</v>
      </c>
      <c r="G80" s="68">
        <f t="shared" si="20"/>
        <v>0</v>
      </c>
      <c r="H80" s="68">
        <f t="shared" si="20"/>
        <v>0</v>
      </c>
      <c r="I80" s="68">
        <f t="shared" si="20"/>
        <v>0</v>
      </c>
      <c r="J80" s="68">
        <f t="shared" si="20"/>
        <v>0</v>
      </c>
      <c r="K80" s="68">
        <f t="shared" si="20"/>
        <v>0</v>
      </c>
      <c r="L80" s="62">
        <f t="shared" si="3"/>
        <v>1</v>
      </c>
      <c r="M80" s="105"/>
      <c r="N80" s="91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89"/>
    </row>
    <row r="81" spans="1:32" ht="6" customHeight="1" thickBot="1" x14ac:dyDescent="0.3">
      <c r="A81" s="48"/>
      <c r="B81" s="39"/>
      <c r="C81" s="40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91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89"/>
    </row>
    <row r="82" spans="1:32" ht="15" customHeight="1" x14ac:dyDescent="0.25">
      <c r="A82" s="48"/>
      <c r="B82" s="23" t="s">
        <v>279</v>
      </c>
      <c r="C82" s="63">
        <f>COUNTIFS('File Tracker'!$A$3:$A$169,"*Chapter 20*",'File Tracker'!$D$3:$D$169,"*[0]*")</f>
        <v>10</v>
      </c>
      <c r="D82" s="63">
        <f>COUNTIFS('File Tracker'!$A$3:$A$169,"*Chapter 20*",'File Tracker'!$D$3:$D$169,"*[1]*")</f>
        <v>0</v>
      </c>
      <c r="E82" s="65">
        <f>COUNTIFS('File Tracker'!$A$3:$A$169,"*Chapter 20*",'File Tracker'!$D$3:$D$169,"*[2]*")</f>
        <v>0</v>
      </c>
      <c r="F82" s="65">
        <f>COUNTIFS('File Tracker'!$A$3:$A$169,"*Chapter 20*",'File Tracker'!$D$3:$D$169,"*[3]*")</f>
        <v>0</v>
      </c>
      <c r="G82" s="67">
        <f>COUNTIFS('File Tracker'!$A$3:$A$169,"*Chapter 20*",'File Tracker'!$D$3:$D$169,"*[4]*")</f>
        <v>0</v>
      </c>
      <c r="H82" s="67">
        <f>COUNTIFS('File Tracker'!$A$3:$A$169,"*Chapter 20*",'File Tracker'!$D$3:$D$169,"*[5]*")</f>
        <v>0</v>
      </c>
      <c r="I82" s="67">
        <f>COUNTIFS('File Tracker'!$A$3:$A$169,"*Chapter 20*",'File Tracker'!$D$3:$D$169,"*[6]*")</f>
        <v>0</v>
      </c>
      <c r="J82" s="67">
        <f>COUNTIFS('File Tracker'!$A$3:$A$169,"*Chapter 20*",'File Tracker'!$D$3:$D$169,"*[7]*")</f>
        <v>0</v>
      </c>
      <c r="K82" s="67">
        <f>COUNTIFS('File Tracker'!$A$3:$A$169,"*Chapter 20*",'File Tracker'!$D$3:$D$169,"*[8]*")</f>
        <v>0</v>
      </c>
      <c r="L82" s="61">
        <f t="shared" si="3"/>
        <v>10</v>
      </c>
      <c r="M82" s="103"/>
      <c r="N82" s="91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89"/>
    </row>
    <row r="83" spans="1:32" ht="15.75" thickBot="1" x14ac:dyDescent="0.3">
      <c r="A83" s="48"/>
      <c r="B83" s="24">
        <f>COUNTIF('File Tracker'!$A$3:A$169,"*Chapter 20 *")</f>
        <v>10</v>
      </c>
      <c r="C83" s="64">
        <f t="shared" ref="C83:K83" si="21">C82/$B$83</f>
        <v>1</v>
      </c>
      <c r="D83" s="64">
        <f t="shared" si="21"/>
        <v>0</v>
      </c>
      <c r="E83" s="66">
        <f t="shared" si="21"/>
        <v>0</v>
      </c>
      <c r="F83" s="66">
        <f t="shared" si="21"/>
        <v>0</v>
      </c>
      <c r="G83" s="68">
        <f t="shared" si="21"/>
        <v>0</v>
      </c>
      <c r="H83" s="68">
        <f t="shared" si="21"/>
        <v>0</v>
      </c>
      <c r="I83" s="68">
        <f t="shared" si="21"/>
        <v>0</v>
      </c>
      <c r="J83" s="68">
        <f t="shared" si="21"/>
        <v>0</v>
      </c>
      <c r="K83" s="68">
        <f t="shared" si="21"/>
        <v>0</v>
      </c>
      <c r="L83" s="62">
        <f t="shared" si="3"/>
        <v>1</v>
      </c>
      <c r="M83" s="105"/>
      <c r="N83" s="91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89"/>
    </row>
    <row r="84" spans="1:32" ht="6" customHeight="1" thickBot="1" x14ac:dyDescent="0.3">
      <c r="A84" s="48"/>
      <c r="B84" s="39"/>
      <c r="C84" s="40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91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89"/>
    </row>
    <row r="85" spans="1:32" ht="15" customHeight="1" x14ac:dyDescent="0.25">
      <c r="A85" s="48"/>
      <c r="B85" s="23" t="s">
        <v>280</v>
      </c>
      <c r="C85" s="63">
        <f>COUNTIFS('File Tracker'!$A$3:$A$169,"*Chapter 21*",'File Tracker'!$D$3:$D$169,"*[0]*")</f>
        <v>3</v>
      </c>
      <c r="D85" s="63">
        <f>COUNTIFS('File Tracker'!$A$3:$A$169,"*Chapter 21*",'File Tracker'!$D$3:$D$169,"*[1]*")</f>
        <v>0</v>
      </c>
      <c r="E85" s="65">
        <f>COUNTIFS('File Tracker'!$A$3:$A$169,"*Chapter 21*",'File Tracker'!$D$3:$D$169,"*[2]*")</f>
        <v>0</v>
      </c>
      <c r="F85" s="65">
        <f>COUNTIFS('File Tracker'!$A$3:$A$169,"*Chapter 21*",'File Tracker'!$D$3:$D$169,"*[3]*")</f>
        <v>0</v>
      </c>
      <c r="G85" s="67">
        <f>COUNTIFS('File Tracker'!$A$3:$A$169,"*Chapter 21*",'File Tracker'!$D$3:$D$169,"*[4]*")</f>
        <v>0</v>
      </c>
      <c r="H85" s="67">
        <f>COUNTIFS('File Tracker'!$A$3:$A$169,"*Chapter 21*",'File Tracker'!$D$3:$D$169,"*[5]*")</f>
        <v>0</v>
      </c>
      <c r="I85" s="67">
        <f>COUNTIFS('File Tracker'!$A$3:$A$169,"*Chapter 21*",'File Tracker'!$D$3:$D$169,"*[6]*")</f>
        <v>0</v>
      </c>
      <c r="J85" s="67">
        <f>COUNTIFS('File Tracker'!$A$3:$A$169,"*Chapter 21*",'File Tracker'!$D$3:$D$169,"*[7]*")</f>
        <v>0</v>
      </c>
      <c r="K85" s="67">
        <f>COUNTIFS('File Tracker'!$A$3:$A$169,"*Chapter 21*",'File Tracker'!$D$3:$D$169,"*[8]*")</f>
        <v>0</v>
      </c>
      <c r="L85" s="61">
        <f t="shared" si="3"/>
        <v>3</v>
      </c>
      <c r="M85" s="103"/>
      <c r="N85" s="91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89"/>
    </row>
    <row r="86" spans="1:32" ht="15.75" thickBot="1" x14ac:dyDescent="0.3">
      <c r="A86" s="48"/>
      <c r="B86" s="24">
        <f>COUNTIF('File Tracker'!$A$3:A$169,"*Chapter 21 *")</f>
        <v>3</v>
      </c>
      <c r="C86" s="64">
        <f t="shared" ref="C86:K86" si="22">C85/$B$86</f>
        <v>1</v>
      </c>
      <c r="D86" s="64">
        <f t="shared" si="22"/>
        <v>0</v>
      </c>
      <c r="E86" s="66">
        <f t="shared" si="22"/>
        <v>0</v>
      </c>
      <c r="F86" s="66">
        <f t="shared" si="22"/>
        <v>0</v>
      </c>
      <c r="G86" s="68">
        <f t="shared" si="22"/>
        <v>0</v>
      </c>
      <c r="H86" s="68">
        <f t="shared" si="22"/>
        <v>0</v>
      </c>
      <c r="I86" s="68">
        <f t="shared" si="22"/>
        <v>0</v>
      </c>
      <c r="J86" s="68">
        <f t="shared" si="22"/>
        <v>0</v>
      </c>
      <c r="K86" s="68">
        <f t="shared" si="22"/>
        <v>0</v>
      </c>
      <c r="L86" s="62">
        <f t="shared" si="3"/>
        <v>1</v>
      </c>
      <c r="M86" s="105"/>
      <c r="N86" s="91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89"/>
    </row>
    <row r="87" spans="1:32" ht="6" customHeight="1" thickBot="1" x14ac:dyDescent="0.3">
      <c r="A87" s="48"/>
      <c r="B87" s="39"/>
      <c r="C87" s="40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91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89"/>
    </row>
    <row r="88" spans="1:32" ht="15" customHeight="1" x14ac:dyDescent="0.25">
      <c r="A88" s="48"/>
      <c r="B88" s="23" t="s">
        <v>281</v>
      </c>
      <c r="C88" s="63">
        <f>COUNTIFS('File Tracker'!$A$3:$A$169,"*Chapter 22*",'File Tracker'!$D$3:$D$169,"*[0]*")</f>
        <v>7</v>
      </c>
      <c r="D88" s="63">
        <f>COUNTIFS('File Tracker'!$A$3:$A$169,"*Chapter 22*",'File Tracker'!$D$3:$D$169,"*[1]*")</f>
        <v>0</v>
      </c>
      <c r="E88" s="65">
        <f>COUNTIFS('File Tracker'!$A$3:$A$169,"*Chapter 22*",'File Tracker'!$D$3:$D$169,"*[2]*")</f>
        <v>0</v>
      </c>
      <c r="F88" s="65">
        <f>COUNTIFS('File Tracker'!$A$3:$A$169,"*Chapter 22*",'File Tracker'!$D$3:$D$169,"*[3]*")</f>
        <v>0</v>
      </c>
      <c r="G88" s="67">
        <f>COUNTIFS('File Tracker'!$A$3:$A$169,"*Chapter 22*",'File Tracker'!$D$3:$D$169,"*[4]*")</f>
        <v>0</v>
      </c>
      <c r="H88" s="67">
        <f>COUNTIFS('File Tracker'!$A$3:$A$169,"*Chapter 22*",'File Tracker'!$D$3:$D$169,"*[5]*")</f>
        <v>0</v>
      </c>
      <c r="I88" s="67">
        <f>COUNTIFS('File Tracker'!$A$3:$A$169,"*Chapter 22*",'File Tracker'!$D$3:$D$169,"*[6]*")</f>
        <v>0</v>
      </c>
      <c r="J88" s="67">
        <f>COUNTIFS('File Tracker'!$A$3:$A$169,"*Chapter 22*",'File Tracker'!$D$3:$D$169,"*[7]*")</f>
        <v>0</v>
      </c>
      <c r="K88" s="67">
        <f>COUNTIFS('File Tracker'!$A$3:$A$169,"*Chapter 22*",'File Tracker'!$D$3:$D$169,"*[8]*")</f>
        <v>0</v>
      </c>
      <c r="L88" s="61">
        <f t="shared" si="3"/>
        <v>7</v>
      </c>
      <c r="M88" s="103"/>
      <c r="N88" s="91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89"/>
    </row>
    <row r="89" spans="1:32" ht="15.75" thickBot="1" x14ac:dyDescent="0.3">
      <c r="A89" s="48"/>
      <c r="B89" s="24">
        <f>COUNTIF('File Tracker'!$A$3:A$169,"*Chapter 22 *")</f>
        <v>7</v>
      </c>
      <c r="C89" s="64">
        <f t="shared" ref="C89:K89" si="23">C88/$B$89</f>
        <v>1</v>
      </c>
      <c r="D89" s="64">
        <f t="shared" si="23"/>
        <v>0</v>
      </c>
      <c r="E89" s="66">
        <f t="shared" si="23"/>
        <v>0</v>
      </c>
      <c r="F89" s="66">
        <f t="shared" si="23"/>
        <v>0</v>
      </c>
      <c r="G89" s="68">
        <f t="shared" si="23"/>
        <v>0</v>
      </c>
      <c r="H89" s="68">
        <f t="shared" si="23"/>
        <v>0</v>
      </c>
      <c r="I89" s="68">
        <f t="shared" si="23"/>
        <v>0</v>
      </c>
      <c r="J89" s="68">
        <f t="shared" si="23"/>
        <v>0</v>
      </c>
      <c r="K89" s="68">
        <f t="shared" si="23"/>
        <v>0</v>
      </c>
      <c r="L89" s="62">
        <f t="shared" si="3"/>
        <v>1</v>
      </c>
      <c r="M89" s="105"/>
      <c r="N89" s="91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89"/>
    </row>
    <row r="90" spans="1:32" ht="6" customHeight="1" thickBot="1" x14ac:dyDescent="0.3">
      <c r="A90" s="48"/>
      <c r="B90" s="39"/>
      <c r="C90" s="40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91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89"/>
    </row>
    <row r="91" spans="1:32" ht="15" customHeight="1" x14ac:dyDescent="0.25">
      <c r="A91" s="48"/>
      <c r="B91" s="23" t="s">
        <v>282</v>
      </c>
      <c r="C91" s="63">
        <f>COUNTIFS('File Tracker'!$A$3:$A$169,"*Chapter 23*",'File Tracker'!$D$3:$D$169,"*[0]*")</f>
        <v>11</v>
      </c>
      <c r="D91" s="63">
        <f>COUNTIFS('File Tracker'!$A$3:$A$169,"*Chapter 23*",'File Tracker'!$D$3:$D$169,"*[1]*")</f>
        <v>0</v>
      </c>
      <c r="E91" s="65">
        <f>COUNTIFS('File Tracker'!$A$3:$A$169,"*Chapter 23*",'File Tracker'!$D$3:$D$169,"*[2]*")</f>
        <v>0</v>
      </c>
      <c r="F91" s="65">
        <f>COUNTIFS('File Tracker'!$A$3:$A$169,"*Chapter 23*",'File Tracker'!$D$3:$D$169,"*[3]*")</f>
        <v>0</v>
      </c>
      <c r="G91" s="67">
        <f>COUNTIFS('File Tracker'!$A$3:$A$169,"*Chapter 23*",'File Tracker'!$D$3:$D$169,"*[4]*")</f>
        <v>0</v>
      </c>
      <c r="H91" s="67">
        <f>COUNTIFS('File Tracker'!$A$3:$A$169,"*Chapter 23*",'File Tracker'!$D$3:$D$169,"*[5]*")</f>
        <v>0</v>
      </c>
      <c r="I91" s="67">
        <f>COUNTIFS('File Tracker'!$A$3:$A$169,"*Chapter 23*",'File Tracker'!$D$3:$D$169,"*[6]*")</f>
        <v>0</v>
      </c>
      <c r="J91" s="67">
        <f>COUNTIFS('File Tracker'!$A$3:$A$169,"*Chapter 23*",'File Tracker'!$D$3:$D$169,"*[7]*")</f>
        <v>0</v>
      </c>
      <c r="K91" s="67">
        <f>COUNTIFS('File Tracker'!$A$3:$A$169,"*Chapter 23*",'File Tracker'!$D$3:$D$169,"*[8]*")</f>
        <v>0</v>
      </c>
      <c r="L91" s="61">
        <f t="shared" si="3"/>
        <v>11</v>
      </c>
      <c r="M91" s="103"/>
      <c r="N91" s="91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89"/>
    </row>
    <row r="92" spans="1:32" ht="15.75" thickBot="1" x14ac:dyDescent="0.3">
      <c r="A92" s="48"/>
      <c r="B92" s="24">
        <f>COUNTIF('File Tracker'!$A$3:A$169,"*Chapter 23 *")</f>
        <v>11</v>
      </c>
      <c r="C92" s="64">
        <f t="shared" ref="C92:K92" si="24">C91/$B$92</f>
        <v>1</v>
      </c>
      <c r="D92" s="64">
        <f t="shared" si="24"/>
        <v>0</v>
      </c>
      <c r="E92" s="66">
        <f t="shared" si="24"/>
        <v>0</v>
      </c>
      <c r="F92" s="66">
        <f t="shared" si="24"/>
        <v>0</v>
      </c>
      <c r="G92" s="68">
        <f t="shared" si="24"/>
        <v>0</v>
      </c>
      <c r="H92" s="68">
        <f t="shared" si="24"/>
        <v>0</v>
      </c>
      <c r="I92" s="68">
        <f t="shared" si="24"/>
        <v>0</v>
      </c>
      <c r="J92" s="68">
        <f t="shared" si="24"/>
        <v>0</v>
      </c>
      <c r="K92" s="68">
        <f t="shared" si="24"/>
        <v>0</v>
      </c>
      <c r="L92" s="62">
        <f t="shared" si="3"/>
        <v>1</v>
      </c>
      <c r="M92" s="105"/>
      <c r="N92" s="91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89"/>
    </row>
    <row r="93" spans="1:32" x14ac:dyDescent="0.25">
      <c r="A93" s="48"/>
      <c r="B93" s="45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91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89"/>
    </row>
  </sheetData>
  <sheetProtection algorithmName="SHA-512" hashValue="bx2XEDPSan+PyY1ztAw/aYDzPZ5hoC8PMadR2txkcQ4aoJdQHnGSWkOQTvPCWuB/3c+opbd3sK/k6Fm5Y9ptwQ==" saltValue="ecQY5aV1DaRIKjTeMmbnTA==" spinCount="100000" sheet="1" objects="1" scenarios="1"/>
  <mergeCells count="13">
    <mergeCell ref="N21:V43"/>
    <mergeCell ref="N44:V70"/>
    <mergeCell ref="W44:AE70"/>
    <mergeCell ref="I8:K8"/>
    <mergeCell ref="I15:J15"/>
    <mergeCell ref="I16:J16"/>
    <mergeCell ref="I13:J14"/>
    <mergeCell ref="C15:D15"/>
    <mergeCell ref="C16:D16"/>
    <mergeCell ref="E15:F15"/>
    <mergeCell ref="E16:F16"/>
    <mergeCell ref="G15:H15"/>
    <mergeCell ref="G16:H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8C5F-E8BC-4ACB-B1F8-8C8A91019F1B}">
  <dimension ref="A1:D15"/>
  <sheetViews>
    <sheetView workbookViewId="0">
      <selection activeCell="B9" sqref="B9"/>
    </sheetView>
  </sheetViews>
  <sheetFormatPr defaultRowHeight="15" x14ac:dyDescent="0.25"/>
  <cols>
    <col min="1" max="1" width="36" customWidth="1"/>
    <col min="2" max="2" width="33.42578125" bestFit="1" customWidth="1"/>
    <col min="3" max="3" width="26.42578125" customWidth="1"/>
    <col min="4" max="4" width="20.42578125" bestFit="1" customWidth="1"/>
    <col min="6" max="6" width="39" bestFit="1" customWidth="1"/>
  </cols>
  <sheetData>
    <row r="1" spans="1:4" x14ac:dyDescent="0.25">
      <c r="A1" t="s">
        <v>254</v>
      </c>
      <c r="B1" t="s">
        <v>253</v>
      </c>
      <c r="C1" t="s">
        <v>307</v>
      </c>
      <c r="D1" t="s">
        <v>308</v>
      </c>
    </row>
    <row r="2" spans="1:4" x14ac:dyDescent="0.25">
      <c r="A2" s="49" t="s">
        <v>261</v>
      </c>
      <c r="B2" s="49" t="s">
        <v>261</v>
      </c>
      <c r="C2" s="83" t="s">
        <v>309</v>
      </c>
      <c r="D2" s="86" t="s">
        <v>321</v>
      </c>
    </row>
    <row r="3" spans="1:4" x14ac:dyDescent="0.25">
      <c r="A3" s="50" t="s">
        <v>260</v>
      </c>
      <c r="B3" s="50" t="s">
        <v>260</v>
      </c>
      <c r="C3" s="84" t="s">
        <v>315</v>
      </c>
      <c r="D3" s="83" t="s">
        <v>310</v>
      </c>
    </row>
    <row r="4" spans="1:4" x14ac:dyDescent="0.25">
      <c r="A4" s="15" t="s">
        <v>259</v>
      </c>
      <c r="B4" s="15" t="s">
        <v>259</v>
      </c>
      <c r="D4" s="85" t="s">
        <v>311</v>
      </c>
    </row>
    <row r="5" spans="1:4" x14ac:dyDescent="0.25">
      <c r="A5" s="15" t="s">
        <v>258</v>
      </c>
      <c r="B5" s="15" t="s">
        <v>258</v>
      </c>
      <c r="D5" s="84" t="s">
        <v>316</v>
      </c>
    </row>
    <row r="6" spans="1:4" x14ac:dyDescent="0.25">
      <c r="A6" s="16" t="s">
        <v>262</v>
      </c>
      <c r="B6" s="16" t="s">
        <v>262</v>
      </c>
    </row>
    <row r="7" spans="1:4" x14ac:dyDescent="0.25">
      <c r="A7" s="16" t="s">
        <v>263</v>
      </c>
      <c r="B7" s="16" t="s">
        <v>263</v>
      </c>
    </row>
    <row r="8" spans="1:4" x14ac:dyDescent="0.25">
      <c r="A8" s="16" t="s">
        <v>255</v>
      </c>
      <c r="B8" s="16" t="s">
        <v>255</v>
      </c>
    </row>
    <row r="9" spans="1:4" x14ac:dyDescent="0.25">
      <c r="A9" s="16" t="s">
        <v>257</v>
      </c>
      <c r="B9" s="16" t="s">
        <v>256</v>
      </c>
    </row>
    <row r="10" spans="1:4" x14ac:dyDescent="0.25">
      <c r="A10" s="14"/>
      <c r="B10" s="14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</sheetData>
  <sortState ref="B3:B6">
    <sortCondition ref="B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0F06272BE8E4BA76BCC2382963B2B" ma:contentTypeVersion="10" ma:contentTypeDescription="Create a new document." ma:contentTypeScope="" ma:versionID="7dab457813496ec6e21ba4f49fb73ff4">
  <xsd:schema xmlns:xsd="http://www.w3.org/2001/XMLSchema" xmlns:xs="http://www.w3.org/2001/XMLSchema" xmlns:p="http://schemas.microsoft.com/office/2006/metadata/properties" xmlns:ns3="3fb00572-5f11-4b50-8891-18555779111c" targetNamespace="http://schemas.microsoft.com/office/2006/metadata/properties" ma:root="true" ma:fieldsID="eb718f50075886bc06f00b827d8ebf21" ns3:_="">
    <xsd:import namespace="3fb00572-5f11-4b50-8891-1855577911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00572-5f11-4b50-8891-185557791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2E97BC-F1B6-4D79-A2CA-8A192A00F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b00572-5f11-4b50-8891-185557791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4DBEB6-1A61-4C7A-87A4-AF3C85F5E9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DB48D3-C842-4F6B-AB6D-78FE27F5D8E9}">
  <ds:schemaRefs>
    <ds:schemaRef ds:uri="3fb00572-5f11-4b50-8891-18555779111c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File Tracker</vt:lpstr>
      <vt:lpstr>DASHBOARD</vt:lpstr>
      <vt:lpstr>List</vt:lpstr>
      <vt:lpstr>Mandatory</vt:lpstr>
      <vt:lpstr>otherthanmandatory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Hooper, Suellyn L</dc:creator>
  <cp:lastModifiedBy>Hooper, Suellyn L</cp:lastModifiedBy>
  <dcterms:created xsi:type="dcterms:W3CDTF">2022-05-19T12:02:17Z</dcterms:created>
  <dcterms:modified xsi:type="dcterms:W3CDTF">2022-07-03T11:31:12Z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0x0101006DF0F06272BE8E4BA76BCC2382963B2B</vt:lpwstr>
  </property>
</Properties>
</file>